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dusan\Desktop\FP 2026-2028 DZVSŽ\"/>
    </mc:Choice>
  </mc:AlternateContent>
  <xr:revisionPtr revIDLastSave="0" documentId="13_ncr:1_{85221C69-73B2-4795-B1D4-D9CAB9A0846E}" xr6:coauthVersionLast="47" xr6:coauthVersionMax="47" xr10:uidLastSave="{00000000-0000-0000-0000-000000000000}"/>
  <bookViews>
    <workbookView xWindow="-120" yWindow="-120" windowWidth="29040" windowHeight="15840" tabRatio="660" xr2:uid="{00000000-000D-0000-FFFF-FFFF00000000}"/>
  </bookViews>
  <sheets>
    <sheet name="SAŽETAK" sheetId="3" r:id="rId1"/>
    <sheet name="Prihodi po ekonomskoj klas" sheetId="2" r:id="rId2"/>
    <sheet name="RASHODI-ek.kl." sheetId="4" r:id="rId3"/>
    <sheet name="Prihodi po ek klas i izvorima" sheetId="1" r:id="rId4"/>
    <sheet name=" PRIHODI I RASHODI-izvori" sheetId="5" r:id="rId5"/>
    <sheet name="Prih.i rash." sheetId="9" r:id="rId6"/>
    <sheet name="RASHODI-funkcijska" sheetId="8" r:id="rId7"/>
    <sheet name="Rekapitulacija Posebni dio" sheetId="6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5" l="1"/>
  <c r="I9" i="5"/>
  <c r="G9" i="5"/>
  <c r="H602" i="5"/>
  <c r="I602" i="5"/>
  <c r="G602" i="5"/>
  <c r="H548" i="5"/>
  <c r="I548" i="5"/>
  <c r="G548" i="5"/>
  <c r="G271" i="4"/>
  <c r="H271" i="4"/>
  <c r="F271" i="4"/>
  <c r="G267" i="4"/>
  <c r="H267" i="4"/>
  <c r="F267" i="4"/>
  <c r="G264" i="4"/>
  <c r="H264" i="4"/>
  <c r="F264" i="4"/>
  <c r="G261" i="4"/>
  <c r="H261" i="4"/>
  <c r="F261" i="4"/>
  <c r="G259" i="4"/>
  <c r="H259" i="4"/>
  <c r="F259" i="4"/>
  <c r="G256" i="4"/>
  <c r="H256" i="4"/>
  <c r="F256" i="4"/>
  <c r="G254" i="4"/>
  <c r="H254" i="4"/>
  <c r="F254" i="4"/>
  <c r="F253" i="4"/>
  <c r="G251" i="4"/>
  <c r="H251" i="4"/>
  <c r="F251" i="4"/>
  <c r="G248" i="4"/>
  <c r="H248" i="4"/>
  <c r="F248" i="4"/>
  <c r="G247" i="4"/>
  <c r="H247" i="4"/>
  <c r="F247" i="4"/>
  <c r="G244" i="4"/>
  <c r="H244" i="4"/>
  <c r="F244" i="4"/>
  <c r="G240" i="4"/>
  <c r="H240" i="4"/>
  <c r="F240" i="4"/>
  <c r="H101" i="5"/>
  <c r="I101" i="5"/>
  <c r="G101" i="5"/>
  <c r="H97" i="5"/>
  <c r="I97" i="5"/>
  <c r="G97" i="5"/>
  <c r="H94" i="5"/>
  <c r="I94" i="5"/>
  <c r="G94" i="5"/>
  <c r="H91" i="5"/>
  <c r="I91" i="5"/>
  <c r="G91" i="5"/>
  <c r="H89" i="5"/>
  <c r="I89" i="5"/>
  <c r="G89" i="5"/>
  <c r="H87" i="5"/>
  <c r="I87" i="5"/>
  <c r="G87" i="5"/>
  <c r="H85" i="5"/>
  <c r="I85" i="5"/>
  <c r="G85" i="5"/>
  <c r="H83" i="5"/>
  <c r="I83" i="5"/>
  <c r="G83" i="5"/>
  <c r="H80" i="5"/>
  <c r="I80" i="5"/>
  <c r="H81" i="5"/>
  <c r="I81" i="5"/>
  <c r="G81" i="5"/>
  <c r="G80" i="5"/>
  <c r="H77" i="5"/>
  <c r="I77" i="5"/>
  <c r="G77" i="5"/>
  <c r="H73" i="5"/>
  <c r="I73" i="5"/>
  <c r="G73" i="5"/>
  <c r="F5" i="6"/>
  <c r="G5" i="6"/>
  <c r="E5" i="6"/>
  <c r="F439" i="6"/>
  <c r="G439" i="6"/>
  <c r="E439" i="6"/>
  <c r="F440" i="6"/>
  <c r="G440" i="6"/>
  <c r="E440" i="6"/>
  <c r="H30" i="2"/>
  <c r="I30" i="2"/>
  <c r="G30" i="2"/>
  <c r="F85" i="1"/>
  <c r="I87" i="1"/>
  <c r="I86" i="1" s="1"/>
  <c r="I85" i="1" s="1"/>
  <c r="I89" i="1" s="1"/>
  <c r="I90" i="1" s="1"/>
  <c r="H87" i="1"/>
  <c r="H86" i="1" s="1"/>
  <c r="H85" i="1" s="1"/>
  <c r="H89" i="1" s="1"/>
  <c r="H90" i="1" s="1"/>
  <c r="G87" i="1"/>
  <c r="G86" i="1" s="1"/>
  <c r="G85" i="1" s="1"/>
  <c r="G89" i="1" s="1"/>
  <c r="G90" i="1" s="1"/>
  <c r="F87" i="1"/>
  <c r="F86" i="1" s="1"/>
  <c r="E87" i="1"/>
  <c r="E86" i="1" s="1"/>
  <c r="E85" i="1" s="1"/>
  <c r="H71" i="2"/>
  <c r="I71" i="2"/>
  <c r="G71" i="2"/>
  <c r="I13" i="1"/>
  <c r="H13" i="1"/>
  <c r="G13" i="1"/>
  <c r="F13" i="1"/>
  <c r="E13" i="1"/>
  <c r="D17" i="9" l="1"/>
  <c r="F17" i="9"/>
  <c r="E17" i="9"/>
  <c r="H545" i="5"/>
  <c r="H544" i="5" s="1"/>
  <c r="H543" i="5" s="1"/>
  <c r="H542" i="5" s="1"/>
  <c r="I545" i="5"/>
  <c r="I544" i="5" s="1"/>
  <c r="I543" i="5" s="1"/>
  <c r="I542" i="5" s="1"/>
  <c r="G545" i="5"/>
  <c r="G544" i="5" s="1"/>
  <c r="G543" i="5" s="1"/>
  <c r="G542" i="5" s="1"/>
  <c r="H541" i="5"/>
  <c r="H540" i="5" s="1"/>
  <c r="I541" i="5"/>
  <c r="I540" i="5" s="1"/>
  <c r="G541" i="5"/>
  <c r="G540" i="5" s="1"/>
  <c r="H539" i="5"/>
  <c r="H538" i="5" s="1"/>
  <c r="I539" i="5"/>
  <c r="I538" i="5" s="1"/>
  <c r="G539" i="5"/>
  <c r="G538" i="5" s="1"/>
  <c r="H536" i="5"/>
  <c r="H535" i="5" s="1"/>
  <c r="I536" i="5"/>
  <c r="I535" i="5" s="1"/>
  <c r="G536" i="5"/>
  <c r="G535" i="5" s="1"/>
  <c r="H534" i="5"/>
  <c r="I534" i="5"/>
  <c r="I533" i="5" s="1"/>
  <c r="G534" i="5"/>
  <c r="G533" i="5" s="1"/>
  <c r="H532" i="5"/>
  <c r="I532" i="5"/>
  <c r="G532" i="5"/>
  <c r="H531" i="5"/>
  <c r="I531" i="5"/>
  <c r="G531" i="5"/>
  <c r="H530" i="5"/>
  <c r="I530" i="5"/>
  <c r="G530" i="5"/>
  <c r="H533" i="5"/>
  <c r="F532" i="5"/>
  <c r="E532" i="5"/>
  <c r="F530" i="5"/>
  <c r="H526" i="5"/>
  <c r="H525" i="5" s="1"/>
  <c r="H524" i="5" s="1"/>
  <c r="I526" i="5"/>
  <c r="I525" i="5" s="1"/>
  <c r="I524" i="5" s="1"/>
  <c r="G526" i="5"/>
  <c r="G525" i="5" s="1"/>
  <c r="G524" i="5" s="1"/>
  <c r="H523" i="5"/>
  <c r="I523" i="5"/>
  <c r="G523" i="5"/>
  <c r="H522" i="5"/>
  <c r="I522" i="5"/>
  <c r="G522" i="5"/>
  <c r="H521" i="5"/>
  <c r="I521" i="5"/>
  <c r="G521" i="5"/>
  <c r="H520" i="5"/>
  <c r="I520" i="5"/>
  <c r="G520" i="5"/>
  <c r="H517" i="5"/>
  <c r="H516" i="5" s="1"/>
  <c r="H515" i="5" s="1"/>
  <c r="I517" i="5"/>
  <c r="I516" i="5" s="1"/>
  <c r="I515" i="5" s="1"/>
  <c r="G517" i="5"/>
  <c r="G516" i="5" s="1"/>
  <c r="G515" i="5" s="1"/>
  <c r="F523" i="5"/>
  <c r="E523" i="5"/>
  <c r="F517" i="5"/>
  <c r="F516" i="5" s="1"/>
  <c r="F515" i="5" s="1"/>
  <c r="E517" i="5"/>
  <c r="E516" i="5" s="1"/>
  <c r="E515" i="5" s="1"/>
  <c r="H510" i="5"/>
  <c r="H509" i="5" s="1"/>
  <c r="H508" i="5" s="1"/>
  <c r="I510" i="5"/>
  <c r="I509" i="5" s="1"/>
  <c r="I508" i="5" s="1"/>
  <c r="G510" i="5"/>
  <c r="G509" i="5" s="1"/>
  <c r="G508" i="5" s="1"/>
  <c r="H507" i="5"/>
  <c r="H506" i="5" s="1"/>
  <c r="I507" i="5"/>
  <c r="I506" i="5" s="1"/>
  <c r="G507" i="5"/>
  <c r="G506" i="5" s="1"/>
  <c r="H505" i="5"/>
  <c r="H504" i="5" s="1"/>
  <c r="I505" i="5"/>
  <c r="I504" i="5" s="1"/>
  <c r="G505" i="5"/>
  <c r="G504" i="5" s="1"/>
  <c r="H502" i="5"/>
  <c r="H501" i="5" s="1"/>
  <c r="I502" i="5"/>
  <c r="I501" i="5" s="1"/>
  <c r="G502" i="5"/>
  <c r="G501" i="5" s="1"/>
  <c r="H500" i="5"/>
  <c r="H499" i="5" s="1"/>
  <c r="I500" i="5"/>
  <c r="I499" i="5" s="1"/>
  <c r="G500" i="5"/>
  <c r="G499" i="5" s="1"/>
  <c r="H496" i="5"/>
  <c r="H495" i="5" s="1"/>
  <c r="H494" i="5" s="1"/>
  <c r="H493" i="5" s="1"/>
  <c r="I496" i="5"/>
  <c r="I495" i="5" s="1"/>
  <c r="I494" i="5" s="1"/>
  <c r="I493" i="5" s="1"/>
  <c r="G496" i="5"/>
  <c r="G495" i="5" s="1"/>
  <c r="G494" i="5" s="1"/>
  <c r="G493" i="5" s="1"/>
  <c r="H481" i="5"/>
  <c r="I481" i="5"/>
  <c r="G481" i="5"/>
  <c r="H479" i="5"/>
  <c r="I479" i="5"/>
  <c r="G479" i="5"/>
  <c r="H467" i="5"/>
  <c r="I467" i="5"/>
  <c r="G467" i="5"/>
  <c r="G466" i="5" s="1"/>
  <c r="H465" i="5"/>
  <c r="I465" i="5"/>
  <c r="H461" i="5"/>
  <c r="I461" i="5"/>
  <c r="H462" i="5"/>
  <c r="I462" i="5"/>
  <c r="H463" i="5"/>
  <c r="I463" i="5"/>
  <c r="G465" i="5"/>
  <c r="G463" i="5"/>
  <c r="G462" i="5"/>
  <c r="G461" i="5"/>
  <c r="H457" i="5"/>
  <c r="I457" i="5"/>
  <c r="G457" i="5"/>
  <c r="H454" i="5"/>
  <c r="I454" i="5"/>
  <c r="G454" i="5"/>
  <c r="H68" i="5"/>
  <c r="I68" i="5"/>
  <c r="G68" i="5"/>
  <c r="H18" i="5"/>
  <c r="I18" i="5"/>
  <c r="G18" i="5"/>
  <c r="H15" i="5"/>
  <c r="I15" i="5"/>
  <c r="G15" i="5"/>
  <c r="H90" i="5"/>
  <c r="I90" i="5"/>
  <c r="G90" i="5"/>
  <c r="G76" i="5"/>
  <c r="G75" i="5" s="1"/>
  <c r="H46" i="5"/>
  <c r="I46" i="5"/>
  <c r="H47" i="5"/>
  <c r="I47" i="5"/>
  <c r="G47" i="5"/>
  <c r="G46" i="5"/>
  <c r="H38" i="5"/>
  <c r="I38" i="5"/>
  <c r="G38" i="5"/>
  <c r="H25" i="5"/>
  <c r="I25" i="5"/>
  <c r="G25" i="5"/>
  <c r="G593" i="6"/>
  <c r="G592" i="6" s="1"/>
  <c r="G591" i="6" s="1"/>
  <c r="F593" i="6"/>
  <c r="E593" i="6"/>
  <c r="E592" i="6" s="1"/>
  <c r="E591" i="6" s="1"/>
  <c r="D593" i="6"/>
  <c r="D592" i="6" s="1"/>
  <c r="D591" i="6" s="1"/>
  <c r="C593" i="6"/>
  <c r="C592" i="6" s="1"/>
  <c r="C591" i="6" s="1"/>
  <c r="F592" i="6"/>
  <c r="F591" i="6"/>
  <c r="F576" i="6"/>
  <c r="G576" i="6"/>
  <c r="E576" i="6"/>
  <c r="F566" i="6"/>
  <c r="G566" i="6"/>
  <c r="E566" i="6"/>
  <c r="F556" i="6"/>
  <c r="F555" i="6" s="1"/>
  <c r="F554" i="6" s="1"/>
  <c r="F553" i="6" s="1"/>
  <c r="F552" i="6" s="1"/>
  <c r="F551" i="6" s="1"/>
  <c r="G556" i="6"/>
  <c r="G555" i="6" s="1"/>
  <c r="G554" i="6" s="1"/>
  <c r="G553" i="6" s="1"/>
  <c r="G552" i="6" s="1"/>
  <c r="G551" i="6" s="1"/>
  <c r="E556" i="6"/>
  <c r="E555" i="6" s="1"/>
  <c r="E554" i="6" s="1"/>
  <c r="E553" i="6" s="1"/>
  <c r="E552" i="6" s="1"/>
  <c r="E551" i="6" s="1"/>
  <c r="F496" i="6"/>
  <c r="F495" i="6" s="1"/>
  <c r="G496" i="6"/>
  <c r="G495" i="6" s="1"/>
  <c r="E496" i="6"/>
  <c r="E495" i="6" s="1"/>
  <c r="F472" i="6"/>
  <c r="F471" i="6" s="1"/>
  <c r="F470" i="6" s="1"/>
  <c r="G472" i="6"/>
  <c r="G471" i="6" s="1"/>
  <c r="G470" i="6" s="1"/>
  <c r="E472" i="6"/>
  <c r="E471" i="6" s="1"/>
  <c r="E470" i="6" s="1"/>
  <c r="F462" i="6"/>
  <c r="H45" i="5" s="1"/>
  <c r="G462" i="6"/>
  <c r="I45" i="5" s="1"/>
  <c r="E462" i="6"/>
  <c r="G45" i="5" s="1"/>
  <c r="F490" i="6"/>
  <c r="G490" i="6"/>
  <c r="E490" i="6"/>
  <c r="F482" i="6"/>
  <c r="G482" i="6"/>
  <c r="E482" i="6"/>
  <c r="F476" i="6"/>
  <c r="F475" i="6" s="1"/>
  <c r="G476" i="6"/>
  <c r="G475" i="6" s="1"/>
  <c r="E476" i="6"/>
  <c r="E475" i="6" s="1"/>
  <c r="H54" i="5"/>
  <c r="I54" i="5"/>
  <c r="G54" i="5"/>
  <c r="H32" i="5"/>
  <c r="H30" i="5" s="1"/>
  <c r="I32" i="5"/>
  <c r="I30" i="5" s="1"/>
  <c r="G32" i="5"/>
  <c r="G30" i="5" s="1"/>
  <c r="F437" i="6"/>
  <c r="F436" i="6" s="1"/>
  <c r="F435" i="6" s="1"/>
  <c r="F434" i="6" s="1"/>
  <c r="F433" i="6" s="1"/>
  <c r="G437" i="6"/>
  <c r="G436" i="6" s="1"/>
  <c r="G435" i="6" s="1"/>
  <c r="G434" i="6" s="1"/>
  <c r="G433" i="6" s="1"/>
  <c r="E437" i="6"/>
  <c r="E436" i="6" s="1"/>
  <c r="E435" i="6" s="1"/>
  <c r="E434" i="6" s="1"/>
  <c r="E433" i="6" s="1"/>
  <c r="I94" i="1"/>
  <c r="H94" i="1"/>
  <c r="G94" i="1"/>
  <c r="F16" i="9" l="1"/>
  <c r="D16" i="9"/>
  <c r="E16" i="9"/>
  <c r="G243" i="4"/>
  <c r="G242" i="4" s="1"/>
  <c r="F243" i="4"/>
  <c r="F242" i="4" s="1"/>
  <c r="H243" i="4"/>
  <c r="H242" i="4" s="1"/>
  <c r="I537" i="5"/>
  <c r="H537" i="5"/>
  <c r="H529" i="5"/>
  <c r="H528" i="5" s="1"/>
  <c r="G537" i="5"/>
  <c r="I529" i="5"/>
  <c r="I528" i="5" s="1"/>
  <c r="I527" i="5" s="1"/>
  <c r="I519" i="5"/>
  <c r="I518" i="5" s="1"/>
  <c r="I514" i="5" s="1"/>
  <c r="G529" i="5"/>
  <c r="G528" i="5" s="1"/>
  <c r="H519" i="5"/>
  <c r="H518" i="5" s="1"/>
  <c r="G519" i="5"/>
  <c r="G518" i="5" s="1"/>
  <c r="I498" i="5"/>
  <c r="H503" i="5"/>
  <c r="H498" i="5"/>
  <c r="G503" i="5"/>
  <c r="I503" i="5"/>
  <c r="G498" i="5"/>
  <c r="I76" i="5"/>
  <c r="I75" i="5" s="1"/>
  <c r="H76" i="5"/>
  <c r="H75" i="5" s="1"/>
  <c r="H49" i="2"/>
  <c r="I49" i="2"/>
  <c r="G49" i="2"/>
  <c r="I61" i="1"/>
  <c r="H61" i="1"/>
  <c r="G61" i="1"/>
  <c r="H52" i="1"/>
  <c r="I52" i="1"/>
  <c r="G52" i="1"/>
  <c r="I34" i="1"/>
  <c r="H32" i="1"/>
  <c r="H34" i="1"/>
  <c r="G34" i="1"/>
  <c r="H527" i="5" l="1"/>
  <c r="I513" i="5"/>
  <c r="G527" i="5"/>
  <c r="G514" i="5"/>
  <c r="H514" i="5"/>
  <c r="H513" i="5" s="1"/>
  <c r="H497" i="5"/>
  <c r="G497" i="5"/>
  <c r="I497" i="5"/>
  <c r="F493" i="6"/>
  <c r="F492" i="6" s="1"/>
  <c r="G493" i="6"/>
  <c r="G492" i="6" s="1"/>
  <c r="E493" i="6"/>
  <c r="E492" i="6" s="1"/>
  <c r="G513" i="5" l="1"/>
  <c r="G423" i="6"/>
  <c r="F423" i="6"/>
  <c r="E423" i="6"/>
  <c r="E148" i="6" l="1"/>
  <c r="E143" i="6"/>
  <c r="E116" i="6"/>
  <c r="E115" i="6"/>
  <c r="E114" i="6"/>
  <c r="E109" i="6"/>
  <c r="E107" i="6"/>
  <c r="E99" i="6"/>
  <c r="E95" i="6"/>
  <c r="E93" i="6"/>
  <c r="E91" i="6"/>
  <c r="E90" i="6"/>
  <c r="E86" i="6"/>
  <c r="E83" i="6"/>
  <c r="E82" i="6"/>
  <c r="E81" i="6"/>
  <c r="E79" i="6"/>
  <c r="E78" i="6"/>
  <c r="E77" i="6"/>
  <c r="E64" i="6"/>
  <c r="E63" i="6"/>
  <c r="E61" i="6"/>
  <c r="E50" i="6"/>
  <c r="E49" i="6"/>
  <c r="E48" i="6"/>
  <c r="E40" i="6"/>
  <c r="E35" i="6"/>
  <c r="E12" i="6" l="1"/>
  <c r="E29" i="6"/>
  <c r="E26" i="6"/>
  <c r="E23" i="6"/>
  <c r="H40" i="3"/>
  <c r="F30" i="1"/>
  <c r="C13" i="9"/>
  <c r="D13" i="9"/>
  <c r="E13" i="9"/>
  <c r="F13" i="9"/>
  <c r="B13" i="9"/>
  <c r="C11" i="9"/>
  <c r="B11" i="9"/>
  <c r="D11" i="9"/>
  <c r="G40" i="1"/>
  <c r="G32" i="1" l="1"/>
  <c r="G30" i="1" s="1"/>
  <c r="I32" i="1"/>
  <c r="I30" i="1" s="1"/>
  <c r="H30" i="1"/>
  <c r="F11" i="9"/>
  <c r="E11" i="9"/>
  <c r="I30" i="3"/>
  <c r="F79" i="2" l="1"/>
  <c r="G79" i="2"/>
  <c r="H79" i="2"/>
  <c r="I79" i="2"/>
  <c r="F80" i="2"/>
  <c r="G80" i="2"/>
  <c r="H80" i="2"/>
  <c r="I80" i="2"/>
  <c r="E80" i="2"/>
  <c r="E79" i="2"/>
  <c r="F65" i="2"/>
  <c r="F64" i="2" s="1"/>
  <c r="G65" i="2"/>
  <c r="G64" i="2" s="1"/>
  <c r="H65" i="2"/>
  <c r="H64" i="2" s="1"/>
  <c r="I65" i="2"/>
  <c r="I64" i="2" s="1"/>
  <c r="E65" i="2"/>
  <c r="E64" i="2" s="1"/>
  <c r="F62" i="2"/>
  <c r="G62" i="2"/>
  <c r="H62" i="2"/>
  <c r="I62" i="2"/>
  <c r="E62" i="2"/>
  <c r="F59" i="2"/>
  <c r="G59" i="2"/>
  <c r="H59" i="2"/>
  <c r="I59" i="2"/>
  <c r="E59" i="2"/>
  <c r="F54" i="2"/>
  <c r="G54" i="2"/>
  <c r="H54" i="2"/>
  <c r="I54" i="2"/>
  <c r="E54" i="2"/>
  <c r="F30" i="2"/>
  <c r="G29" i="2"/>
  <c r="H29" i="2"/>
  <c r="I29" i="2"/>
  <c r="E30" i="2"/>
  <c r="E16" i="2"/>
  <c r="E41" i="2"/>
  <c r="F41" i="2"/>
  <c r="H41" i="2"/>
  <c r="I41" i="2"/>
  <c r="G41" i="2"/>
  <c r="F47" i="1"/>
  <c r="F46" i="1" s="1"/>
  <c r="G47" i="1"/>
  <c r="G46" i="1" s="1"/>
  <c r="H47" i="1"/>
  <c r="H46" i="1" s="1"/>
  <c r="I47" i="1"/>
  <c r="I46" i="1" s="1"/>
  <c r="E47" i="1"/>
  <c r="E46" i="1" s="1"/>
  <c r="F100" i="1"/>
  <c r="G100" i="1"/>
  <c r="H100" i="1"/>
  <c r="I100" i="1"/>
  <c r="E100" i="1"/>
  <c r="F103" i="1"/>
  <c r="G103" i="1"/>
  <c r="H103" i="1"/>
  <c r="I103" i="1"/>
  <c r="E103" i="1"/>
  <c r="I40" i="1"/>
  <c r="I39" i="1" s="1"/>
  <c r="H40" i="1"/>
  <c r="H39" i="1" s="1"/>
  <c r="G39" i="1"/>
  <c r="F39" i="1"/>
  <c r="E39" i="1"/>
  <c r="I33" i="1"/>
  <c r="I29" i="1" s="1"/>
  <c r="I28" i="1" s="1"/>
  <c r="H33" i="1"/>
  <c r="H29" i="1" s="1"/>
  <c r="H28" i="1" s="1"/>
  <c r="F33" i="1"/>
  <c r="F29" i="1" s="1"/>
  <c r="F28" i="1" s="1"/>
  <c r="G33" i="1"/>
  <c r="G29" i="1" s="1"/>
  <c r="G28" i="1" s="1"/>
  <c r="E33" i="1"/>
  <c r="E30" i="1"/>
  <c r="F29" i="2" l="1"/>
  <c r="E29" i="2"/>
  <c r="I20" i="1"/>
  <c r="H20" i="1"/>
  <c r="G20" i="1"/>
  <c r="I54" i="1"/>
  <c r="H54" i="1"/>
  <c r="G54" i="1"/>
  <c r="I40" i="2"/>
  <c r="F40" i="2"/>
  <c r="G40" i="2"/>
  <c r="H40" i="2"/>
  <c r="E40" i="2"/>
  <c r="F23" i="1"/>
  <c r="G23" i="1"/>
  <c r="H23" i="1"/>
  <c r="I23" i="1"/>
  <c r="E23" i="1"/>
  <c r="E29" i="1"/>
  <c r="F33" i="2"/>
  <c r="F32" i="2" s="1"/>
  <c r="G33" i="2"/>
  <c r="G32" i="2" s="1"/>
  <c r="H33" i="2"/>
  <c r="H32" i="2" s="1"/>
  <c r="I33" i="2"/>
  <c r="I32" i="2" s="1"/>
  <c r="E33" i="2"/>
  <c r="E32" i="2" s="1"/>
  <c r="F78" i="2"/>
  <c r="F77" i="2" s="1"/>
  <c r="G78" i="2"/>
  <c r="G77" i="2" s="1"/>
  <c r="H78" i="2"/>
  <c r="H77" i="2" s="1"/>
  <c r="I78" i="2"/>
  <c r="I77" i="2" s="1"/>
  <c r="E78" i="2"/>
  <c r="E77" i="2" s="1"/>
  <c r="F55" i="2"/>
  <c r="F53" i="2" s="1"/>
  <c r="G55" i="2"/>
  <c r="G53" i="2" s="1"/>
  <c r="H55" i="2"/>
  <c r="H53" i="2" s="1"/>
  <c r="I55" i="2"/>
  <c r="I53" i="2" s="1"/>
  <c r="E55" i="2"/>
  <c r="E53" i="2" s="1"/>
  <c r="F44" i="2"/>
  <c r="F43" i="2" s="1"/>
  <c r="F42" i="2" s="1"/>
  <c r="G44" i="2"/>
  <c r="G43" i="2" s="1"/>
  <c r="G42" i="2" s="1"/>
  <c r="H44" i="2"/>
  <c r="H43" i="2" s="1"/>
  <c r="H42" i="2" s="1"/>
  <c r="I44" i="2"/>
  <c r="I43" i="2" s="1"/>
  <c r="I42" i="2" s="1"/>
  <c r="E44" i="2"/>
  <c r="E43" i="2" s="1"/>
  <c r="E42" i="2" s="1"/>
  <c r="F28" i="2"/>
  <c r="G28" i="2"/>
  <c r="H28" i="2"/>
  <c r="I28" i="2"/>
  <c r="E28" i="2"/>
  <c r="F85" i="2"/>
  <c r="F84" i="2" s="1"/>
  <c r="G85" i="2"/>
  <c r="G84" i="2" s="1"/>
  <c r="H85" i="2"/>
  <c r="H84" i="2" s="1"/>
  <c r="I85" i="2"/>
  <c r="I84" i="2" s="1"/>
  <c r="E85" i="2"/>
  <c r="E84" i="2" s="1"/>
  <c r="F115" i="1"/>
  <c r="G115" i="1"/>
  <c r="H115" i="1"/>
  <c r="I115" i="1"/>
  <c r="E115" i="1"/>
  <c r="F26" i="1" l="1"/>
  <c r="F25" i="1" s="1"/>
  <c r="G26" i="1"/>
  <c r="G25" i="1" s="1"/>
  <c r="H26" i="1"/>
  <c r="H25" i="1" s="1"/>
  <c r="I26" i="1"/>
  <c r="I25" i="1" s="1"/>
  <c r="E26" i="1"/>
  <c r="E25" i="1" s="1"/>
  <c r="F82" i="1"/>
  <c r="G82" i="1"/>
  <c r="H82" i="1"/>
  <c r="I82" i="1"/>
  <c r="E82" i="1"/>
  <c r="F93" i="1"/>
  <c r="G93" i="1"/>
  <c r="G92" i="1" s="1"/>
  <c r="H93" i="1"/>
  <c r="H92" i="1" s="1"/>
  <c r="I93" i="1"/>
  <c r="I92" i="1" s="1"/>
  <c r="E93" i="1"/>
  <c r="F633" i="6" l="1"/>
  <c r="F632" i="6" s="1"/>
  <c r="G633" i="6"/>
  <c r="G632" i="6" s="1"/>
  <c r="F326" i="6"/>
  <c r="F325" i="6" s="1"/>
  <c r="G326" i="6"/>
  <c r="G325" i="6" s="1"/>
  <c r="F304" i="6"/>
  <c r="H193" i="5" s="1"/>
  <c r="G304" i="6"/>
  <c r="I193" i="5" s="1"/>
  <c r="F290" i="6"/>
  <c r="F287" i="6" s="1"/>
  <c r="G290" i="6"/>
  <c r="G287" i="6" s="1"/>
  <c r="F281" i="6"/>
  <c r="G281" i="6"/>
  <c r="G280" i="6" s="1"/>
  <c r="F242" i="6"/>
  <c r="H129" i="5" s="1"/>
  <c r="G242" i="6"/>
  <c r="F139" i="6"/>
  <c r="G139" i="6"/>
  <c r="F481" i="5"/>
  <c r="E481" i="5"/>
  <c r="F461" i="5"/>
  <c r="E461" i="5"/>
  <c r="F454" i="5"/>
  <c r="E454" i="5"/>
  <c r="E253" i="6"/>
  <c r="E221" i="6"/>
  <c r="E158" i="6"/>
  <c r="E155" i="6" s="1"/>
  <c r="E21" i="6"/>
  <c r="D672" i="6"/>
  <c r="D671" i="6" s="1"/>
  <c r="E672" i="6"/>
  <c r="E671" i="6" s="1"/>
  <c r="F672" i="6"/>
  <c r="F671" i="6" s="1"/>
  <c r="G672" i="6"/>
  <c r="G671" i="6" s="1"/>
  <c r="C672" i="6"/>
  <c r="C671" i="6" s="1"/>
  <c r="F667" i="6"/>
  <c r="G667" i="6"/>
  <c r="D665" i="6"/>
  <c r="E665" i="6"/>
  <c r="F665" i="6"/>
  <c r="G665" i="6"/>
  <c r="C665" i="6"/>
  <c r="D659" i="6"/>
  <c r="E659" i="6"/>
  <c r="F659" i="6"/>
  <c r="G659" i="6"/>
  <c r="C659" i="6"/>
  <c r="G669" i="6"/>
  <c r="F669" i="6"/>
  <c r="E669" i="6"/>
  <c r="D669" i="6"/>
  <c r="C669" i="6"/>
  <c r="E667" i="6"/>
  <c r="D667" i="6"/>
  <c r="C667" i="6"/>
  <c r="G662" i="6"/>
  <c r="F662" i="6"/>
  <c r="E662" i="6"/>
  <c r="D662" i="6"/>
  <c r="C662" i="6"/>
  <c r="G657" i="6"/>
  <c r="F657" i="6"/>
  <c r="E657" i="6"/>
  <c r="D657" i="6"/>
  <c r="C657" i="6"/>
  <c r="G653" i="6"/>
  <c r="F653" i="6"/>
  <c r="E653" i="6"/>
  <c r="D653" i="6"/>
  <c r="C653" i="6"/>
  <c r="G649" i="6"/>
  <c r="G648" i="6" s="1"/>
  <c r="F649" i="6"/>
  <c r="F648" i="6" s="1"/>
  <c r="E649" i="6"/>
  <c r="E648" i="6" s="1"/>
  <c r="D649" i="6"/>
  <c r="C649" i="6"/>
  <c r="G643" i="6"/>
  <c r="G642" i="6" s="1"/>
  <c r="F643" i="6"/>
  <c r="F642" i="6" s="1"/>
  <c r="E643" i="6"/>
  <c r="E642" i="6" s="1"/>
  <c r="D643" i="6"/>
  <c r="D642" i="6" s="1"/>
  <c r="C643" i="6"/>
  <c r="C642" i="6" s="1"/>
  <c r="G640" i="6"/>
  <c r="G639" i="6" s="1"/>
  <c r="F640" i="6"/>
  <c r="F639" i="6" s="1"/>
  <c r="E640" i="6"/>
  <c r="E639" i="6" s="1"/>
  <c r="D640" i="6"/>
  <c r="D639" i="6" s="1"/>
  <c r="C640" i="6"/>
  <c r="C639" i="6" s="1"/>
  <c r="F465" i="5"/>
  <c r="E465" i="5"/>
  <c r="F457" i="5"/>
  <c r="E457" i="5"/>
  <c r="F36" i="5"/>
  <c r="G36" i="5"/>
  <c r="H36" i="5"/>
  <c r="I36" i="5"/>
  <c r="E36" i="5"/>
  <c r="F25" i="5"/>
  <c r="F24" i="5" s="1"/>
  <c r="G24" i="5"/>
  <c r="H24" i="5"/>
  <c r="I24" i="5"/>
  <c r="E25" i="5"/>
  <c r="E24" i="5" s="1"/>
  <c r="F23" i="5"/>
  <c r="G23" i="5"/>
  <c r="H23" i="5"/>
  <c r="I23" i="5"/>
  <c r="E23" i="5"/>
  <c r="F22" i="5"/>
  <c r="G22" i="5"/>
  <c r="H22" i="5"/>
  <c r="I22" i="5"/>
  <c r="E22" i="5"/>
  <c r="G549" i="6"/>
  <c r="F549" i="6"/>
  <c r="E549" i="6"/>
  <c r="D549" i="6"/>
  <c r="C549" i="6"/>
  <c r="G547" i="6"/>
  <c r="G546" i="6" s="1"/>
  <c r="F547" i="6"/>
  <c r="F546" i="6" s="1"/>
  <c r="E547" i="6"/>
  <c r="E546" i="6" s="1"/>
  <c r="D547" i="6"/>
  <c r="D546" i="6" s="1"/>
  <c r="C547" i="6"/>
  <c r="C546" i="6" s="1"/>
  <c r="D542" i="6"/>
  <c r="D541" i="6" s="1"/>
  <c r="E542" i="6"/>
  <c r="E541" i="6" s="1"/>
  <c r="F542" i="6"/>
  <c r="F541" i="6" s="1"/>
  <c r="G542" i="6"/>
  <c r="G541" i="6" s="1"/>
  <c r="C542" i="6"/>
  <c r="C541" i="6" s="1"/>
  <c r="D535" i="6"/>
  <c r="E535" i="6"/>
  <c r="F535" i="6"/>
  <c r="G535" i="6"/>
  <c r="C535" i="6"/>
  <c r="D539" i="6"/>
  <c r="E539" i="6"/>
  <c r="F539" i="6"/>
  <c r="G539" i="6"/>
  <c r="C539" i="6"/>
  <c r="G544" i="6"/>
  <c r="F544" i="6"/>
  <c r="E544" i="6"/>
  <c r="D544" i="6"/>
  <c r="C544" i="6"/>
  <c r="G531" i="6"/>
  <c r="G530" i="6" s="1"/>
  <c r="F531" i="6"/>
  <c r="F530" i="6" s="1"/>
  <c r="E531" i="6"/>
  <c r="E530" i="6" s="1"/>
  <c r="D531" i="6"/>
  <c r="D530" i="6" s="1"/>
  <c r="C531" i="6"/>
  <c r="C530" i="6" s="1"/>
  <c r="G528" i="6"/>
  <c r="F528" i="6"/>
  <c r="E528" i="6"/>
  <c r="D528" i="6"/>
  <c r="C528" i="6"/>
  <c r="G526" i="6"/>
  <c r="G525" i="6" s="1"/>
  <c r="F526" i="6"/>
  <c r="F525" i="6" s="1"/>
  <c r="E526" i="6"/>
  <c r="E525" i="6" s="1"/>
  <c r="D526" i="6"/>
  <c r="D525" i="6" s="1"/>
  <c r="C526" i="6"/>
  <c r="C525" i="6" s="1"/>
  <c r="F97" i="5"/>
  <c r="E267" i="4" s="1"/>
  <c r="E266" i="4" s="1"/>
  <c r="G96" i="5"/>
  <c r="G95" i="5" s="1"/>
  <c r="G266" i="4"/>
  <c r="I96" i="5"/>
  <c r="I95" i="5" s="1"/>
  <c r="E97" i="5"/>
  <c r="E96" i="5" s="1"/>
  <c r="E95" i="5" s="1"/>
  <c r="F80" i="5"/>
  <c r="E80" i="5"/>
  <c r="F81" i="5"/>
  <c r="E81" i="5"/>
  <c r="F89" i="5"/>
  <c r="E89" i="5"/>
  <c r="F87" i="5"/>
  <c r="E87" i="5"/>
  <c r="E54" i="5"/>
  <c r="F101" i="5"/>
  <c r="E101" i="5"/>
  <c r="F94" i="5"/>
  <c r="F93" i="5" s="1"/>
  <c r="F92" i="5" s="1"/>
  <c r="G93" i="5"/>
  <c r="G92" i="5" s="1"/>
  <c r="H93" i="5"/>
  <c r="H92" i="5" s="1"/>
  <c r="I93" i="5"/>
  <c r="I92" i="5" s="1"/>
  <c r="E94" i="5"/>
  <c r="E93" i="5" s="1"/>
  <c r="E92" i="5" s="1"/>
  <c r="F85" i="5"/>
  <c r="E85" i="5"/>
  <c r="F83" i="5"/>
  <c r="F82" i="5" s="1"/>
  <c r="F250" i="4"/>
  <c r="G250" i="4"/>
  <c r="I82" i="5"/>
  <c r="E83" i="5"/>
  <c r="E82" i="5" s="1"/>
  <c r="F73" i="5"/>
  <c r="E240" i="4" s="1"/>
  <c r="E239" i="4" s="1"/>
  <c r="E238" i="4" s="1"/>
  <c r="F239" i="4"/>
  <c r="F238" i="4" s="1"/>
  <c r="G239" i="4"/>
  <c r="G238" i="4" s="1"/>
  <c r="I72" i="5"/>
  <c r="I71" i="5" s="1"/>
  <c r="I70" i="5" s="1"/>
  <c r="E73" i="5"/>
  <c r="D240" i="4" s="1"/>
  <c r="D239" i="4" s="1"/>
  <c r="F54" i="5"/>
  <c r="F48" i="5"/>
  <c r="E48" i="5"/>
  <c r="F47" i="5"/>
  <c r="E47" i="5"/>
  <c r="F46" i="5"/>
  <c r="E46" i="5"/>
  <c r="F45" i="5"/>
  <c r="E45" i="5"/>
  <c r="F40" i="5"/>
  <c r="E40" i="5"/>
  <c r="F39" i="5"/>
  <c r="E39" i="5"/>
  <c r="F38" i="5"/>
  <c r="E38" i="5"/>
  <c r="F587" i="5"/>
  <c r="G587" i="5"/>
  <c r="G586" i="5" s="1"/>
  <c r="G584" i="5" s="1"/>
  <c r="H587" i="5"/>
  <c r="H586" i="5" s="1"/>
  <c r="H584" i="5" s="1"/>
  <c r="I587" i="5"/>
  <c r="I586" i="5" s="1"/>
  <c r="I584" i="5" s="1"/>
  <c r="E587" i="5"/>
  <c r="E586" i="5" s="1"/>
  <c r="E584" i="5" s="1"/>
  <c r="D419" i="6"/>
  <c r="D417" i="6" s="1"/>
  <c r="E419" i="6"/>
  <c r="E417" i="6" s="1"/>
  <c r="F419" i="6"/>
  <c r="F417" i="6" s="1"/>
  <c r="G419" i="6"/>
  <c r="G417" i="6" s="1"/>
  <c r="C419" i="6"/>
  <c r="C417" i="6" s="1"/>
  <c r="F565" i="5"/>
  <c r="F564" i="5" s="1"/>
  <c r="F563" i="5" s="1"/>
  <c r="G565" i="5"/>
  <c r="G564" i="5" s="1"/>
  <c r="G563" i="5" s="1"/>
  <c r="H565" i="5"/>
  <c r="H564" i="5" s="1"/>
  <c r="H563" i="5" s="1"/>
  <c r="I565" i="5"/>
  <c r="I564" i="5" s="1"/>
  <c r="I563" i="5" s="1"/>
  <c r="E565" i="5"/>
  <c r="E564" i="5" s="1"/>
  <c r="E563" i="5" s="1"/>
  <c r="D403" i="6"/>
  <c r="D402" i="6" s="1"/>
  <c r="E403" i="6"/>
  <c r="E402" i="6" s="1"/>
  <c r="F403" i="6"/>
  <c r="F402" i="6" s="1"/>
  <c r="G403" i="6"/>
  <c r="G402" i="6" s="1"/>
  <c r="C403" i="6"/>
  <c r="C402" i="6" s="1"/>
  <c r="F216" i="5"/>
  <c r="F215" i="5" s="1"/>
  <c r="G216" i="5"/>
  <c r="G215" i="5" s="1"/>
  <c r="G214" i="5" s="1"/>
  <c r="H216" i="5"/>
  <c r="H215" i="5" s="1"/>
  <c r="H214" i="5" s="1"/>
  <c r="I216" i="5"/>
  <c r="I215" i="5" s="1"/>
  <c r="I214" i="5" s="1"/>
  <c r="E216" i="5"/>
  <c r="E215" i="5" s="1"/>
  <c r="D326" i="6"/>
  <c r="E326" i="6"/>
  <c r="E325" i="6" s="1"/>
  <c r="C326" i="6"/>
  <c r="F207" i="5"/>
  <c r="F206" i="5" s="1"/>
  <c r="G207" i="5"/>
  <c r="G206" i="5" s="1"/>
  <c r="H207" i="5"/>
  <c r="H206" i="5" s="1"/>
  <c r="I207" i="5"/>
  <c r="I206" i="5" s="1"/>
  <c r="E207" i="5"/>
  <c r="E206" i="5" s="1"/>
  <c r="D317" i="6"/>
  <c r="E317" i="6"/>
  <c r="F317" i="6"/>
  <c r="G317" i="6"/>
  <c r="C317" i="6"/>
  <c r="F203" i="5"/>
  <c r="F202" i="5" s="1"/>
  <c r="G203" i="5"/>
  <c r="G202" i="5" s="1"/>
  <c r="H203" i="5"/>
  <c r="H202" i="5" s="1"/>
  <c r="I203" i="5"/>
  <c r="I202" i="5" s="1"/>
  <c r="E203" i="5"/>
  <c r="E202" i="5" s="1"/>
  <c r="E153" i="6"/>
  <c r="E151" i="6" s="1"/>
  <c r="D313" i="6"/>
  <c r="E313" i="6"/>
  <c r="F313" i="6"/>
  <c r="G313" i="6"/>
  <c r="C313" i="6"/>
  <c r="F197" i="5"/>
  <c r="E195" i="4" s="1"/>
  <c r="G197" i="5"/>
  <c r="G196" i="5" s="1"/>
  <c r="H197" i="5"/>
  <c r="G195" i="4" s="1"/>
  <c r="I197" i="5"/>
  <c r="I196" i="5" s="1"/>
  <c r="E197" i="5"/>
  <c r="D195" i="4" s="1"/>
  <c r="D307" i="6"/>
  <c r="E307" i="6"/>
  <c r="F307" i="6"/>
  <c r="G307" i="6"/>
  <c r="C307" i="6"/>
  <c r="F195" i="5"/>
  <c r="F194" i="5" s="1"/>
  <c r="G195" i="5"/>
  <c r="G194" i="5" s="1"/>
  <c r="H195" i="5"/>
  <c r="H194" i="5" s="1"/>
  <c r="I195" i="5"/>
  <c r="I194" i="5" s="1"/>
  <c r="E195" i="5"/>
  <c r="E194" i="5" s="1"/>
  <c r="D305" i="6"/>
  <c r="E305" i="6"/>
  <c r="F305" i="6"/>
  <c r="G305" i="6"/>
  <c r="C305" i="6"/>
  <c r="F193" i="5"/>
  <c r="E193" i="5"/>
  <c r="E304" i="6"/>
  <c r="E303" i="6" s="1"/>
  <c r="D303" i="6"/>
  <c r="C303" i="6"/>
  <c r="F187" i="5"/>
  <c r="F186" i="5" s="1"/>
  <c r="G187" i="5"/>
  <c r="G186" i="5" s="1"/>
  <c r="H187" i="5"/>
  <c r="H186" i="5" s="1"/>
  <c r="I187" i="5"/>
  <c r="I186" i="5" s="1"/>
  <c r="E187" i="5"/>
  <c r="E186" i="5" s="1"/>
  <c r="F185" i="5"/>
  <c r="F184" i="5" s="1"/>
  <c r="G185" i="5"/>
  <c r="G184" i="5" s="1"/>
  <c r="H185" i="5"/>
  <c r="H184" i="5" s="1"/>
  <c r="I185" i="5"/>
  <c r="I184" i="5" s="1"/>
  <c r="E185" i="5"/>
  <c r="E184" i="5" s="1"/>
  <c r="D295" i="6"/>
  <c r="F521" i="5" s="1"/>
  <c r="E295" i="6"/>
  <c r="F295" i="6"/>
  <c r="G295" i="6"/>
  <c r="C295" i="6"/>
  <c r="E521" i="5" s="1"/>
  <c r="D297" i="6"/>
  <c r="E297" i="6"/>
  <c r="F297" i="6"/>
  <c r="G297" i="6"/>
  <c r="C297" i="6"/>
  <c r="F177" i="5"/>
  <c r="G177" i="5"/>
  <c r="H177" i="5"/>
  <c r="I177" i="5"/>
  <c r="F178" i="5"/>
  <c r="G178" i="5"/>
  <c r="H178" i="5"/>
  <c r="I178" i="5"/>
  <c r="E178" i="5"/>
  <c r="E177" i="5"/>
  <c r="E290" i="6"/>
  <c r="E287" i="6" s="1"/>
  <c r="D287" i="6"/>
  <c r="C287" i="6"/>
  <c r="F174" i="5"/>
  <c r="E162" i="4" s="1"/>
  <c r="G174" i="5"/>
  <c r="F162" i="4" s="1"/>
  <c r="H174" i="5"/>
  <c r="G162" i="4" s="1"/>
  <c r="I174" i="5"/>
  <c r="H162" i="4" s="1"/>
  <c r="F175" i="5"/>
  <c r="G175" i="5"/>
  <c r="H175" i="5"/>
  <c r="I175" i="5"/>
  <c r="E175" i="5"/>
  <c r="E174" i="5"/>
  <c r="D162" i="4" s="1"/>
  <c r="D284" i="6"/>
  <c r="E284" i="6"/>
  <c r="F284" i="6"/>
  <c r="G284" i="6"/>
  <c r="C284" i="6"/>
  <c r="F171" i="5"/>
  <c r="G171" i="5"/>
  <c r="H171" i="5"/>
  <c r="I171" i="5"/>
  <c r="F172" i="5"/>
  <c r="G172" i="5"/>
  <c r="H172" i="5"/>
  <c r="I172" i="5"/>
  <c r="E172" i="5"/>
  <c r="E171" i="5"/>
  <c r="E281" i="6"/>
  <c r="E280" i="6" s="1"/>
  <c r="D280" i="6"/>
  <c r="F280" i="6"/>
  <c r="C280" i="6"/>
  <c r="F164" i="5"/>
  <c r="G164" i="5"/>
  <c r="H164" i="5"/>
  <c r="G136" i="4" s="1"/>
  <c r="I164" i="5"/>
  <c r="E164" i="5"/>
  <c r="D274" i="6"/>
  <c r="E274" i="6"/>
  <c r="F274" i="6"/>
  <c r="G274" i="6"/>
  <c r="C274" i="6"/>
  <c r="F156" i="5"/>
  <c r="G156" i="5"/>
  <c r="H156" i="5"/>
  <c r="I156" i="5"/>
  <c r="F157" i="5"/>
  <c r="G157" i="5"/>
  <c r="H157" i="5"/>
  <c r="I157" i="5"/>
  <c r="F158" i="5"/>
  <c r="G158" i="5"/>
  <c r="H158" i="5"/>
  <c r="I158" i="5"/>
  <c r="E157" i="5"/>
  <c r="E158" i="5"/>
  <c r="E156" i="5"/>
  <c r="D266" i="6"/>
  <c r="E266" i="6"/>
  <c r="F266" i="6"/>
  <c r="G266" i="6"/>
  <c r="C266" i="6"/>
  <c r="F150" i="5"/>
  <c r="G150" i="5"/>
  <c r="H150" i="5"/>
  <c r="I150" i="5"/>
  <c r="F151" i="5"/>
  <c r="G151" i="5"/>
  <c r="H151" i="5"/>
  <c r="I151" i="5"/>
  <c r="E151" i="5"/>
  <c r="E150" i="5"/>
  <c r="D261" i="6"/>
  <c r="E261" i="6"/>
  <c r="F261" i="6"/>
  <c r="G261" i="6"/>
  <c r="C261" i="6"/>
  <c r="F135" i="5"/>
  <c r="G135" i="5"/>
  <c r="H135" i="5"/>
  <c r="I135" i="5"/>
  <c r="E135" i="5"/>
  <c r="D247" i="6"/>
  <c r="E247" i="6"/>
  <c r="F247" i="6"/>
  <c r="G247" i="6"/>
  <c r="C247" i="6"/>
  <c r="F133" i="5"/>
  <c r="E90" i="4" s="1"/>
  <c r="G133" i="5"/>
  <c r="F90" i="4" s="1"/>
  <c r="H133" i="5"/>
  <c r="G90" i="4" s="1"/>
  <c r="I133" i="5"/>
  <c r="H90" i="4" s="1"/>
  <c r="E133" i="5"/>
  <c r="D90" i="4" s="1"/>
  <c r="C244" i="6"/>
  <c r="D244" i="6"/>
  <c r="F244" i="6"/>
  <c r="G244" i="6"/>
  <c r="E245" i="6"/>
  <c r="E244" i="6" s="1"/>
  <c r="F127" i="5"/>
  <c r="G127" i="5"/>
  <c r="H127" i="5"/>
  <c r="I127" i="5"/>
  <c r="F128" i="5"/>
  <c r="G128" i="5"/>
  <c r="H128" i="5"/>
  <c r="I128" i="5"/>
  <c r="F129" i="5"/>
  <c r="I129" i="5"/>
  <c r="F130" i="5"/>
  <c r="G130" i="5"/>
  <c r="H130" i="5"/>
  <c r="I130" i="5"/>
  <c r="E130" i="5"/>
  <c r="E129" i="5"/>
  <c r="E128" i="5"/>
  <c r="E127" i="5"/>
  <c r="C239" i="6"/>
  <c r="E242" i="6"/>
  <c r="G129" i="5" s="1"/>
  <c r="D239" i="6"/>
  <c r="G239" i="6"/>
  <c r="E236" i="6"/>
  <c r="F115" i="5"/>
  <c r="G115" i="5"/>
  <c r="H115" i="5"/>
  <c r="I115" i="5"/>
  <c r="F116" i="5"/>
  <c r="G116" i="5"/>
  <c r="H116" i="5"/>
  <c r="I116" i="5"/>
  <c r="F117" i="5"/>
  <c r="G117" i="5"/>
  <c r="H117" i="5"/>
  <c r="I117" i="5"/>
  <c r="F118" i="5"/>
  <c r="G118" i="5"/>
  <c r="H118" i="5"/>
  <c r="I118" i="5"/>
  <c r="F119" i="5"/>
  <c r="G119" i="5"/>
  <c r="F73" i="4" s="1"/>
  <c r="H119" i="5"/>
  <c r="G73" i="4" s="1"/>
  <c r="I119" i="5"/>
  <c r="H73" i="4" s="1"/>
  <c r="E119" i="5"/>
  <c r="E118" i="5"/>
  <c r="E117" i="5"/>
  <c r="E116" i="5"/>
  <c r="E115" i="5"/>
  <c r="E233" i="6"/>
  <c r="E227" i="6" s="1"/>
  <c r="D227" i="6"/>
  <c r="F227" i="6"/>
  <c r="G227" i="6"/>
  <c r="C227" i="6"/>
  <c r="E177" i="6"/>
  <c r="F385" i="5"/>
  <c r="G385" i="5"/>
  <c r="F205" i="4" s="1"/>
  <c r="H385" i="5"/>
  <c r="G205" i="4" s="1"/>
  <c r="I385" i="5"/>
  <c r="E385" i="5"/>
  <c r="D205" i="4" s="1"/>
  <c r="D151" i="6"/>
  <c r="F151" i="6"/>
  <c r="G151" i="6"/>
  <c r="C151" i="6"/>
  <c r="F373" i="5"/>
  <c r="E192" i="4" s="1"/>
  <c r="G373" i="5"/>
  <c r="H373" i="5"/>
  <c r="G192" i="4" s="1"/>
  <c r="I373" i="5"/>
  <c r="E373" i="5"/>
  <c r="D139" i="6"/>
  <c r="C139" i="6"/>
  <c r="E142" i="6"/>
  <c r="E141" i="6"/>
  <c r="E138" i="6"/>
  <c r="E134" i="6"/>
  <c r="E133" i="6"/>
  <c r="E132" i="6"/>
  <c r="E130" i="6"/>
  <c r="F331" i="5"/>
  <c r="E149" i="4" s="1"/>
  <c r="G331" i="5"/>
  <c r="F149" i="4" s="1"/>
  <c r="H331" i="5"/>
  <c r="G149" i="4" s="1"/>
  <c r="I331" i="5"/>
  <c r="H149" i="4" s="1"/>
  <c r="E331" i="5"/>
  <c r="D149" i="4" s="1"/>
  <c r="F330" i="5"/>
  <c r="G330" i="5"/>
  <c r="F148" i="4" s="1"/>
  <c r="H330" i="5"/>
  <c r="G148" i="4" s="1"/>
  <c r="I330" i="5"/>
  <c r="E330" i="5"/>
  <c r="F360" i="5"/>
  <c r="G360" i="5"/>
  <c r="H360" i="5"/>
  <c r="I360" i="5"/>
  <c r="I359" i="5" s="1"/>
  <c r="E360" i="5"/>
  <c r="E359" i="5" s="1"/>
  <c r="F358" i="5"/>
  <c r="G358" i="5"/>
  <c r="H358" i="5"/>
  <c r="I358" i="5"/>
  <c r="I357" i="5" s="1"/>
  <c r="E358" i="5"/>
  <c r="E357" i="5" s="1"/>
  <c r="D126" i="6"/>
  <c r="E126" i="6"/>
  <c r="F126" i="6"/>
  <c r="G126" i="6"/>
  <c r="D124" i="6"/>
  <c r="E124" i="6"/>
  <c r="F124" i="6"/>
  <c r="G124" i="6"/>
  <c r="C126" i="6"/>
  <c r="C124" i="6"/>
  <c r="F346" i="5"/>
  <c r="G346" i="5"/>
  <c r="H346" i="5"/>
  <c r="I346" i="5"/>
  <c r="E346" i="5"/>
  <c r="E123" i="6"/>
  <c r="E122" i="6"/>
  <c r="D112" i="6"/>
  <c r="E112" i="6"/>
  <c r="F112" i="6"/>
  <c r="G112" i="6"/>
  <c r="C112" i="6"/>
  <c r="E106" i="6"/>
  <c r="F334" i="5"/>
  <c r="E152" i="4" s="1"/>
  <c r="G334" i="5"/>
  <c r="F152" i="4" s="1"/>
  <c r="H334" i="5"/>
  <c r="I334" i="5"/>
  <c r="F335" i="5"/>
  <c r="E153" i="4" s="1"/>
  <c r="G335" i="5"/>
  <c r="F153" i="4" s="1"/>
  <c r="H335" i="5"/>
  <c r="G153" i="4" s="1"/>
  <c r="I335" i="5"/>
  <c r="H153" i="4" s="1"/>
  <c r="F336" i="5"/>
  <c r="E154" i="4" s="1"/>
  <c r="G336" i="5"/>
  <c r="F154" i="4" s="1"/>
  <c r="H336" i="5"/>
  <c r="G154" i="4" s="1"/>
  <c r="I336" i="5"/>
  <c r="H154" i="4" s="1"/>
  <c r="E336" i="5"/>
  <c r="D154" i="4" s="1"/>
  <c r="E335" i="5"/>
  <c r="D153" i="4" s="1"/>
  <c r="E334" i="5"/>
  <c r="D152" i="4" s="1"/>
  <c r="C100" i="6"/>
  <c r="E104" i="6"/>
  <c r="E100" i="6" s="1"/>
  <c r="D100" i="6"/>
  <c r="F100" i="6"/>
  <c r="G100" i="6"/>
  <c r="D96" i="6"/>
  <c r="E96" i="6"/>
  <c r="F96" i="6"/>
  <c r="G96" i="6"/>
  <c r="C96" i="6"/>
  <c r="E324" i="5"/>
  <c r="D142" i="4" s="1"/>
  <c r="F324" i="5"/>
  <c r="E142" i="4" s="1"/>
  <c r="E325" i="5"/>
  <c r="D143" i="4" s="1"/>
  <c r="F325" i="5"/>
  <c r="E143" i="4" s="1"/>
  <c r="E326" i="5"/>
  <c r="F326" i="5"/>
  <c r="E327" i="5"/>
  <c r="D145" i="4" s="1"/>
  <c r="F327" i="5"/>
  <c r="E145" i="4" s="1"/>
  <c r="H324" i="5"/>
  <c r="G142" i="4" s="1"/>
  <c r="I324" i="5"/>
  <c r="H142" i="4" s="1"/>
  <c r="H325" i="5"/>
  <c r="G143" i="4" s="1"/>
  <c r="I325" i="5"/>
  <c r="H143" i="4" s="1"/>
  <c r="H326" i="5"/>
  <c r="I326" i="5"/>
  <c r="H327" i="5"/>
  <c r="G145" i="4" s="1"/>
  <c r="I327" i="5"/>
  <c r="H145" i="4" s="1"/>
  <c r="G327" i="5"/>
  <c r="F145" i="4" s="1"/>
  <c r="G326" i="5"/>
  <c r="G325" i="5"/>
  <c r="F143" i="4" s="1"/>
  <c r="G324" i="5"/>
  <c r="F142" i="4" s="1"/>
  <c r="E89" i="6"/>
  <c r="E88" i="6"/>
  <c r="F317" i="5"/>
  <c r="G317" i="5"/>
  <c r="H317" i="5"/>
  <c r="I317" i="5"/>
  <c r="E317" i="5"/>
  <c r="G80" i="6"/>
  <c r="F80" i="6"/>
  <c r="E80" i="6"/>
  <c r="D80" i="6"/>
  <c r="C80" i="6"/>
  <c r="E74" i="6"/>
  <c r="E305" i="5"/>
  <c r="F305" i="5"/>
  <c r="H305" i="5"/>
  <c r="I305" i="5"/>
  <c r="G305" i="5"/>
  <c r="C70" i="6"/>
  <c r="D70" i="6"/>
  <c r="F70" i="6"/>
  <c r="G70" i="6"/>
  <c r="E71" i="6"/>
  <c r="E70" i="6" s="1"/>
  <c r="E69" i="6"/>
  <c r="E68" i="6"/>
  <c r="F290" i="5"/>
  <c r="E107" i="4" s="1"/>
  <c r="E290" i="5"/>
  <c r="D107" i="4" s="1"/>
  <c r="F289" i="5"/>
  <c r="E106" i="4" s="1"/>
  <c r="E289" i="5"/>
  <c r="D106" i="4" s="1"/>
  <c r="H289" i="5"/>
  <c r="G106" i="4" s="1"/>
  <c r="I289" i="5"/>
  <c r="H106" i="4" s="1"/>
  <c r="H290" i="5"/>
  <c r="G107" i="4" s="1"/>
  <c r="I290" i="5"/>
  <c r="H107" i="4" s="1"/>
  <c r="G290" i="5"/>
  <c r="F107" i="4" s="1"/>
  <c r="G289" i="5"/>
  <c r="F106" i="4" s="1"/>
  <c r="C54" i="6"/>
  <c r="E285" i="5"/>
  <c r="D102" i="4" s="1"/>
  <c r="F285" i="5"/>
  <c r="E102" i="4" s="1"/>
  <c r="H285" i="5"/>
  <c r="G102" i="4" s="1"/>
  <c r="I285" i="5"/>
  <c r="H102" i="4" s="1"/>
  <c r="G285" i="5"/>
  <c r="F102" i="4" s="1"/>
  <c r="E43" i="6"/>
  <c r="E42" i="6"/>
  <c r="E271" i="5"/>
  <c r="F271" i="5"/>
  <c r="C34" i="6"/>
  <c r="D34" i="6"/>
  <c r="H271" i="5"/>
  <c r="I271" i="5"/>
  <c r="G271" i="5"/>
  <c r="E37" i="6"/>
  <c r="E36" i="6"/>
  <c r="F34" i="6"/>
  <c r="G34" i="6"/>
  <c r="E25" i="6"/>
  <c r="E24" i="6"/>
  <c r="E16" i="6"/>
  <c r="F87" i="4" l="1"/>
  <c r="G163" i="5"/>
  <c r="F136" i="4"/>
  <c r="I163" i="5"/>
  <c r="H136" i="4"/>
  <c r="H87" i="4"/>
  <c r="H173" i="5"/>
  <c r="G87" i="4"/>
  <c r="C648" i="6"/>
  <c r="E539" i="5"/>
  <c r="E538" i="5" s="1"/>
  <c r="E537" i="5" s="1"/>
  <c r="D648" i="6"/>
  <c r="D638" i="6" s="1"/>
  <c r="F539" i="5"/>
  <c r="F538" i="5" s="1"/>
  <c r="F537" i="5" s="1"/>
  <c r="F303" i="6"/>
  <c r="F239" i="6"/>
  <c r="E20" i="6"/>
  <c r="D136" i="4"/>
  <c r="E136" i="4"/>
  <c r="G303" i="6"/>
  <c r="E239" i="6"/>
  <c r="E238" i="6" s="1"/>
  <c r="D73" i="4"/>
  <c r="E73" i="4"/>
  <c r="F664" i="6"/>
  <c r="E664" i="6"/>
  <c r="D664" i="6"/>
  <c r="C664" i="6"/>
  <c r="G664" i="6"/>
  <c r="F652" i="6"/>
  <c r="D652" i="6"/>
  <c r="D651" i="6" s="1"/>
  <c r="C638" i="6"/>
  <c r="E652" i="6"/>
  <c r="C652" i="6"/>
  <c r="G652" i="6"/>
  <c r="G638" i="6"/>
  <c r="F638" i="6"/>
  <c r="E638" i="6"/>
  <c r="E21" i="5"/>
  <c r="E20" i="5" s="1"/>
  <c r="F21" i="5"/>
  <c r="F20" i="5" s="1"/>
  <c r="D87" i="4"/>
  <c r="E87" i="4"/>
  <c r="G21" i="5"/>
  <c r="G20" i="5" s="1"/>
  <c r="F534" i="6"/>
  <c r="F533" i="6" s="1"/>
  <c r="D267" i="4"/>
  <c r="D266" i="4" s="1"/>
  <c r="H21" i="5"/>
  <c r="H20" i="5" s="1"/>
  <c r="I21" i="5"/>
  <c r="I20" i="5" s="1"/>
  <c r="C534" i="6"/>
  <c r="C533" i="6" s="1"/>
  <c r="D534" i="6"/>
  <c r="D533" i="6" s="1"/>
  <c r="G534" i="6"/>
  <c r="G533" i="6" s="1"/>
  <c r="F96" i="5"/>
  <c r="F95" i="5" s="1"/>
  <c r="E534" i="6"/>
  <c r="E533" i="6" s="1"/>
  <c r="H82" i="5"/>
  <c r="G144" i="4"/>
  <c r="G82" i="5"/>
  <c r="D524" i="6"/>
  <c r="C524" i="6"/>
  <c r="G524" i="6"/>
  <c r="F524" i="6"/>
  <c r="E524" i="6"/>
  <c r="H144" i="4"/>
  <c r="I44" i="5"/>
  <c r="F266" i="4"/>
  <c r="F265" i="4" s="1"/>
  <c r="E37" i="5"/>
  <c r="H44" i="5"/>
  <c r="F44" i="5"/>
  <c r="G79" i="5"/>
  <c r="G44" i="5"/>
  <c r="E44" i="5"/>
  <c r="F72" i="5"/>
  <c r="F71" i="5" s="1"/>
  <c r="F70" i="5" s="1"/>
  <c r="H96" i="5"/>
  <c r="H95" i="5" s="1"/>
  <c r="E72" i="5"/>
  <c r="E71" i="5" s="1"/>
  <c r="E70" i="5" s="1"/>
  <c r="G72" i="5"/>
  <c r="G71" i="5" s="1"/>
  <c r="G70" i="5" s="1"/>
  <c r="H266" i="4"/>
  <c r="H265" i="4" s="1"/>
  <c r="D251" i="4"/>
  <c r="D250" i="4" s="1"/>
  <c r="E251" i="4"/>
  <c r="E250" i="4" s="1"/>
  <c r="H250" i="4"/>
  <c r="H134" i="4"/>
  <c r="H72" i="5"/>
  <c r="H71" i="5" s="1"/>
  <c r="H70" i="5" s="1"/>
  <c r="H239" i="4"/>
  <c r="H238" i="4" s="1"/>
  <c r="D134" i="4"/>
  <c r="E134" i="4"/>
  <c r="F37" i="5"/>
  <c r="G134" i="4"/>
  <c r="H37" i="5"/>
  <c r="G37" i="5"/>
  <c r="F134" i="4"/>
  <c r="I37" i="5"/>
  <c r="D144" i="4"/>
  <c r="F144" i="4"/>
  <c r="E144" i="4"/>
  <c r="F586" i="5"/>
  <c r="F584" i="5" s="1"/>
  <c r="C312" i="6"/>
  <c r="D312" i="6"/>
  <c r="D122" i="4"/>
  <c r="H165" i="4"/>
  <c r="G122" i="4"/>
  <c r="H122" i="4"/>
  <c r="E165" i="4"/>
  <c r="F165" i="4"/>
  <c r="E312" i="6"/>
  <c r="E311" i="6" s="1"/>
  <c r="F312" i="6"/>
  <c r="G201" i="5"/>
  <c r="G200" i="5" s="1"/>
  <c r="H201" i="5"/>
  <c r="H200" i="5" s="1"/>
  <c r="F201" i="5"/>
  <c r="F200" i="5" s="1"/>
  <c r="E201" i="5"/>
  <c r="I201" i="5"/>
  <c r="I200" i="5" s="1"/>
  <c r="G312" i="6"/>
  <c r="H196" i="5"/>
  <c r="H195" i="4"/>
  <c r="E196" i="5"/>
  <c r="F196" i="5"/>
  <c r="F195" i="4"/>
  <c r="G177" i="4"/>
  <c r="G176" i="4" s="1"/>
  <c r="E177" i="4"/>
  <c r="E176" i="4" s="1"/>
  <c r="F179" i="4"/>
  <c r="F178" i="4" s="1"/>
  <c r="D165" i="4"/>
  <c r="G193" i="5"/>
  <c r="H179" i="4"/>
  <c r="H178" i="4" s="1"/>
  <c r="G165" i="4"/>
  <c r="D177" i="4"/>
  <c r="D176" i="4" s="1"/>
  <c r="H177" i="4"/>
  <c r="H176" i="4" s="1"/>
  <c r="D179" i="4"/>
  <c r="D178" i="4" s="1"/>
  <c r="E179" i="4"/>
  <c r="E178" i="4" s="1"/>
  <c r="F177" i="4"/>
  <c r="F176" i="4" s="1"/>
  <c r="G179" i="4"/>
  <c r="G178" i="4" s="1"/>
  <c r="E122" i="4"/>
  <c r="F173" i="5"/>
  <c r="G173" i="5"/>
  <c r="E173" i="5"/>
  <c r="I173" i="5"/>
  <c r="H163" i="5"/>
  <c r="E163" i="5"/>
  <c r="G155" i="5"/>
  <c r="F122" i="4"/>
  <c r="F163" i="5"/>
  <c r="F155" i="5"/>
  <c r="I155" i="5"/>
  <c r="H155" i="5"/>
  <c r="E155" i="5"/>
  <c r="G149" i="5"/>
  <c r="F149" i="5"/>
  <c r="I149" i="5"/>
  <c r="H149" i="5"/>
  <c r="E149" i="5"/>
  <c r="H126" i="5"/>
  <c r="F126" i="5"/>
  <c r="E126" i="5"/>
  <c r="G126" i="5"/>
  <c r="I126" i="5"/>
  <c r="E139" i="6"/>
  <c r="G359" i="5"/>
  <c r="E205" i="4"/>
  <c r="H205" i="4"/>
  <c r="G357" i="5"/>
  <c r="F192" i="4"/>
  <c r="E65" i="6"/>
  <c r="F357" i="5"/>
  <c r="D192" i="4"/>
  <c r="H192" i="4"/>
  <c r="D148" i="4"/>
  <c r="E148" i="4"/>
  <c r="H357" i="5"/>
  <c r="F359" i="5"/>
  <c r="H148" i="4"/>
  <c r="H359" i="5"/>
  <c r="H152" i="4"/>
  <c r="G152" i="4"/>
  <c r="E87" i="6"/>
  <c r="E47" i="6"/>
  <c r="E34" i="6"/>
  <c r="G37" i="3"/>
  <c r="H48" i="2"/>
  <c r="I48" i="2"/>
  <c r="F114" i="1"/>
  <c r="F113" i="1" s="1"/>
  <c r="G114" i="1"/>
  <c r="G113" i="1" s="1"/>
  <c r="H114" i="1"/>
  <c r="H113" i="1" s="1"/>
  <c r="I114" i="1"/>
  <c r="I113" i="1" s="1"/>
  <c r="F118" i="1"/>
  <c r="F117" i="1" s="1"/>
  <c r="G118" i="1"/>
  <c r="G117" i="1" s="1"/>
  <c r="H118" i="1"/>
  <c r="H117" i="1" s="1"/>
  <c r="I118" i="1"/>
  <c r="I117" i="1" s="1"/>
  <c r="I109" i="1"/>
  <c r="I108" i="1" s="1"/>
  <c r="I107" i="1" s="1"/>
  <c r="I111" i="1" s="1"/>
  <c r="H109" i="1"/>
  <c r="H108" i="1" s="1"/>
  <c r="H107" i="1" s="1"/>
  <c r="H111" i="1" s="1"/>
  <c r="G109" i="1"/>
  <c r="G108" i="1" s="1"/>
  <c r="G107" i="1" s="1"/>
  <c r="G111" i="1" s="1"/>
  <c r="F109" i="1"/>
  <c r="F108" i="1" s="1"/>
  <c r="F107" i="1" s="1"/>
  <c r="F111" i="1" s="1"/>
  <c r="F99" i="1"/>
  <c r="F98" i="1" s="1"/>
  <c r="F105" i="1" s="1"/>
  <c r="G99" i="1"/>
  <c r="G98" i="1" s="1"/>
  <c r="G105" i="1" s="1"/>
  <c r="G106" i="1" s="1"/>
  <c r="H99" i="1"/>
  <c r="H98" i="1" s="1"/>
  <c r="H105" i="1" s="1"/>
  <c r="H106" i="1" s="1"/>
  <c r="I99" i="1"/>
  <c r="I98" i="1" s="1"/>
  <c r="I105" i="1" s="1"/>
  <c r="I106" i="1" s="1"/>
  <c r="H91" i="1"/>
  <c r="H95" i="1" s="1"/>
  <c r="I91" i="1"/>
  <c r="I95" i="1" s="1"/>
  <c r="F92" i="1"/>
  <c r="G91" i="1"/>
  <c r="F79" i="1"/>
  <c r="G79" i="1"/>
  <c r="H79" i="1"/>
  <c r="I79" i="1"/>
  <c r="F77" i="1"/>
  <c r="G77" i="1"/>
  <c r="G76" i="1" s="1"/>
  <c r="H77" i="1"/>
  <c r="H76" i="1" s="1"/>
  <c r="I77" i="1"/>
  <c r="I76" i="1" s="1"/>
  <c r="F74" i="1"/>
  <c r="F73" i="1" s="1"/>
  <c r="G74" i="1"/>
  <c r="G73" i="1" s="1"/>
  <c r="H74" i="1"/>
  <c r="H73" i="1" s="1"/>
  <c r="I74" i="1"/>
  <c r="I73" i="1" s="1"/>
  <c r="F70" i="1"/>
  <c r="F69" i="1" s="1"/>
  <c r="G70" i="1"/>
  <c r="G69" i="1" s="1"/>
  <c r="H70" i="1"/>
  <c r="H69" i="1" s="1"/>
  <c r="I70" i="1"/>
  <c r="I69" i="1" s="1"/>
  <c r="F64" i="1"/>
  <c r="F63" i="1" s="1"/>
  <c r="F62" i="1" s="1"/>
  <c r="G64" i="1"/>
  <c r="G63" i="1" s="1"/>
  <c r="G62" i="1" s="1"/>
  <c r="H64" i="1"/>
  <c r="H63" i="1" s="1"/>
  <c r="H62" i="1" s="1"/>
  <c r="I64" i="1"/>
  <c r="I63" i="1" s="1"/>
  <c r="I62" i="1" s="1"/>
  <c r="F56" i="1"/>
  <c r="G56" i="1"/>
  <c r="H56" i="1"/>
  <c r="I56" i="1"/>
  <c r="F60" i="1"/>
  <c r="F59" i="1" s="1"/>
  <c r="G60" i="1"/>
  <c r="G59" i="1" s="1"/>
  <c r="H60" i="1"/>
  <c r="H59" i="1" s="1"/>
  <c r="I60" i="1"/>
  <c r="I59" i="1" s="1"/>
  <c r="F51" i="1"/>
  <c r="F50" i="1" s="1"/>
  <c r="G51" i="1"/>
  <c r="G50" i="1" s="1"/>
  <c r="G49" i="1" s="1"/>
  <c r="D12" i="9" s="1"/>
  <c r="H51" i="1"/>
  <c r="H50" i="1" s="1"/>
  <c r="H49" i="1" s="1"/>
  <c r="E12" i="9" s="1"/>
  <c r="I51" i="1"/>
  <c r="I50" i="1" s="1"/>
  <c r="I49" i="1" s="1"/>
  <c r="F12" i="9" s="1"/>
  <c r="F21" i="1"/>
  <c r="G21" i="1"/>
  <c r="H21" i="1"/>
  <c r="I21" i="1"/>
  <c r="F19" i="1"/>
  <c r="F18" i="1" s="1"/>
  <c r="F17" i="1" s="1"/>
  <c r="G19" i="1"/>
  <c r="G18" i="1" s="1"/>
  <c r="G17" i="1" s="1"/>
  <c r="H19" i="1"/>
  <c r="H18" i="1" s="1"/>
  <c r="H17" i="1" s="1"/>
  <c r="I19" i="1"/>
  <c r="I18" i="1" s="1"/>
  <c r="I17" i="1" s="1"/>
  <c r="F11" i="1"/>
  <c r="F10" i="1" s="1"/>
  <c r="F9" i="1" s="1"/>
  <c r="F15" i="1" s="1"/>
  <c r="C6" i="9" s="1"/>
  <c r="G11" i="1"/>
  <c r="G10" i="1" s="1"/>
  <c r="H11" i="1"/>
  <c r="H10" i="1" s="1"/>
  <c r="I11" i="1"/>
  <c r="I10" i="1" s="1"/>
  <c r="F38" i="1"/>
  <c r="F37" i="1" s="1"/>
  <c r="G38" i="1"/>
  <c r="G37" i="1" s="1"/>
  <c r="H38" i="1"/>
  <c r="H37" i="1" s="1"/>
  <c r="I38" i="1"/>
  <c r="I37" i="1" s="1"/>
  <c r="F45" i="1"/>
  <c r="G45" i="1"/>
  <c r="H45" i="1"/>
  <c r="I45" i="1"/>
  <c r="F81" i="1"/>
  <c r="G81" i="1"/>
  <c r="H81" i="1"/>
  <c r="I81" i="1"/>
  <c r="E216" i="4"/>
  <c r="E215" i="4" s="1"/>
  <c r="F216" i="4"/>
  <c r="F215" i="4" s="1"/>
  <c r="G216" i="4"/>
  <c r="G215" i="4" s="1"/>
  <c r="H216" i="4"/>
  <c r="H215" i="4" s="1"/>
  <c r="E225" i="4"/>
  <c r="F225" i="4"/>
  <c r="G225" i="4"/>
  <c r="H225" i="4"/>
  <c r="E232" i="4"/>
  <c r="F232" i="4"/>
  <c r="G232" i="4"/>
  <c r="H232" i="4"/>
  <c r="E236" i="4"/>
  <c r="F236" i="4"/>
  <c r="G236" i="4"/>
  <c r="H236" i="4"/>
  <c r="E242" i="4"/>
  <c r="E265" i="4"/>
  <c r="G265" i="4"/>
  <c r="E272" i="4"/>
  <c r="F272" i="4"/>
  <c r="G272" i="4"/>
  <c r="H272" i="4"/>
  <c r="F462" i="5"/>
  <c r="F463" i="5"/>
  <c r="E463" i="5"/>
  <c r="E462" i="5"/>
  <c r="F484" i="5"/>
  <c r="F483" i="5" s="1"/>
  <c r="F482" i="5" s="1"/>
  <c r="G484" i="5"/>
  <c r="G483" i="5" s="1"/>
  <c r="G482" i="5" s="1"/>
  <c r="H484" i="5"/>
  <c r="H483" i="5" s="1"/>
  <c r="H482" i="5" s="1"/>
  <c r="I484" i="5"/>
  <c r="I483" i="5" s="1"/>
  <c r="I482" i="5" s="1"/>
  <c r="F477" i="5"/>
  <c r="F476" i="5" s="1"/>
  <c r="G477" i="5"/>
  <c r="G476" i="5" s="1"/>
  <c r="H477" i="5"/>
  <c r="H476" i="5" s="1"/>
  <c r="I477" i="5"/>
  <c r="I476" i="5" s="1"/>
  <c r="E477" i="5"/>
  <c r="F474" i="5"/>
  <c r="F473" i="5" s="1"/>
  <c r="G474" i="5"/>
  <c r="G473" i="5" s="1"/>
  <c r="H474" i="5"/>
  <c r="H473" i="5" s="1"/>
  <c r="I474" i="5"/>
  <c r="I473" i="5" s="1"/>
  <c r="E474" i="5"/>
  <c r="F471" i="5"/>
  <c r="G471" i="5"/>
  <c r="H471" i="5"/>
  <c r="I471" i="5"/>
  <c r="E471" i="5"/>
  <c r="F470" i="5"/>
  <c r="G470" i="5"/>
  <c r="H470" i="5"/>
  <c r="I470" i="5"/>
  <c r="E470" i="5"/>
  <c r="F467" i="5"/>
  <c r="F466" i="5" s="1"/>
  <c r="H466" i="5"/>
  <c r="I466" i="5"/>
  <c r="E467" i="5"/>
  <c r="E466" i="5" s="1"/>
  <c r="F464" i="5"/>
  <c r="G464" i="5"/>
  <c r="H464" i="5"/>
  <c r="I464" i="5"/>
  <c r="F456" i="5"/>
  <c r="F455" i="5" s="1"/>
  <c r="G456" i="5"/>
  <c r="G455" i="5" s="1"/>
  <c r="H456" i="5"/>
  <c r="H455" i="5" s="1"/>
  <c r="I456" i="5"/>
  <c r="I455" i="5" s="1"/>
  <c r="F453" i="5"/>
  <c r="G453" i="5"/>
  <c r="G452" i="5" s="1"/>
  <c r="G451" i="5" s="1"/>
  <c r="H453" i="5"/>
  <c r="H452" i="5" s="1"/>
  <c r="H451" i="5" s="1"/>
  <c r="I453" i="5"/>
  <c r="I452" i="5" s="1"/>
  <c r="I451" i="5" s="1"/>
  <c r="F15" i="5"/>
  <c r="F14" i="5" s="1"/>
  <c r="F13" i="5" s="1"/>
  <c r="G14" i="5"/>
  <c r="G13" i="5" s="1"/>
  <c r="H14" i="5"/>
  <c r="H13" i="5" s="1"/>
  <c r="I14" i="5"/>
  <c r="I13" i="5" s="1"/>
  <c r="F18" i="5"/>
  <c r="F17" i="5" s="1"/>
  <c r="F16" i="5" s="1"/>
  <c r="G17" i="5"/>
  <c r="G16" i="5" s="1"/>
  <c r="H17" i="5"/>
  <c r="H16" i="5" s="1"/>
  <c r="I17" i="5"/>
  <c r="I16" i="5" s="1"/>
  <c r="F28" i="5"/>
  <c r="F29" i="5"/>
  <c r="F31" i="5"/>
  <c r="F30" i="5" s="1"/>
  <c r="F34" i="5"/>
  <c r="F35" i="5"/>
  <c r="F43" i="5"/>
  <c r="F50" i="5"/>
  <c r="F49" i="5" s="1"/>
  <c r="G49" i="5"/>
  <c r="H49" i="5"/>
  <c r="I49" i="5"/>
  <c r="F52" i="5"/>
  <c r="F51" i="5" s="1"/>
  <c r="G51" i="5"/>
  <c r="H51" i="5"/>
  <c r="I51" i="5"/>
  <c r="F56" i="5"/>
  <c r="F57" i="5"/>
  <c r="F60" i="5"/>
  <c r="F61" i="5"/>
  <c r="F64" i="5"/>
  <c r="F63" i="5" s="1"/>
  <c r="G63" i="5"/>
  <c r="H63" i="5"/>
  <c r="I63" i="5"/>
  <c r="F66" i="5"/>
  <c r="F65" i="5" s="1"/>
  <c r="G65" i="5"/>
  <c r="H65" i="5"/>
  <c r="I65" i="5"/>
  <c r="F68" i="5"/>
  <c r="F67" i="5" s="1"/>
  <c r="G67" i="5"/>
  <c r="H67" i="5"/>
  <c r="I67" i="5"/>
  <c r="F84" i="5"/>
  <c r="G84" i="5"/>
  <c r="H84" i="5"/>
  <c r="I84" i="5"/>
  <c r="F86" i="5"/>
  <c r="G86" i="5"/>
  <c r="H86" i="5"/>
  <c r="I86" i="5"/>
  <c r="F88" i="5"/>
  <c r="G88" i="5"/>
  <c r="H88" i="5"/>
  <c r="I88" i="5"/>
  <c r="F100" i="5"/>
  <c r="F99" i="5" s="1"/>
  <c r="F98" i="5" s="1"/>
  <c r="G100" i="5"/>
  <c r="G99" i="5" s="1"/>
  <c r="G98" i="5" s="1"/>
  <c r="H100" i="5"/>
  <c r="H99" i="5" s="1"/>
  <c r="H98" i="5" s="1"/>
  <c r="I100" i="5"/>
  <c r="I99" i="5" s="1"/>
  <c r="I98" i="5" s="1"/>
  <c r="F112" i="5"/>
  <c r="F111" i="5" s="1"/>
  <c r="G112" i="5"/>
  <c r="G111" i="5" s="1"/>
  <c r="H112" i="5"/>
  <c r="H111" i="5" s="1"/>
  <c r="I112" i="5"/>
  <c r="I111" i="5" s="1"/>
  <c r="F120" i="5"/>
  <c r="G120" i="5"/>
  <c r="H120" i="5"/>
  <c r="I120" i="5"/>
  <c r="F123" i="5"/>
  <c r="F122" i="5" s="1"/>
  <c r="F121" i="5" s="1"/>
  <c r="G123" i="5"/>
  <c r="H123" i="5"/>
  <c r="I123" i="5"/>
  <c r="F132" i="5"/>
  <c r="F131" i="5" s="1"/>
  <c r="G132" i="5"/>
  <c r="H132" i="5"/>
  <c r="I132" i="5"/>
  <c r="F136" i="5"/>
  <c r="F134" i="5" s="1"/>
  <c r="G136" i="5"/>
  <c r="H136" i="5"/>
  <c r="I136" i="5"/>
  <c r="F140" i="5"/>
  <c r="F139" i="5" s="1"/>
  <c r="G140" i="5"/>
  <c r="G139" i="5" s="1"/>
  <c r="H140" i="5"/>
  <c r="H139" i="5" s="1"/>
  <c r="I140" i="5"/>
  <c r="I139" i="5" s="1"/>
  <c r="F142" i="5"/>
  <c r="G142" i="5"/>
  <c r="H142" i="5"/>
  <c r="I142" i="5"/>
  <c r="F143" i="5"/>
  <c r="G143" i="5"/>
  <c r="H143" i="5"/>
  <c r="I143" i="5"/>
  <c r="F145" i="5"/>
  <c r="G145" i="5"/>
  <c r="H145" i="5"/>
  <c r="I145" i="5"/>
  <c r="F146" i="5"/>
  <c r="G146" i="5"/>
  <c r="H146" i="5"/>
  <c r="I146" i="5"/>
  <c r="F147" i="5"/>
  <c r="G147" i="5"/>
  <c r="H147" i="5"/>
  <c r="I147" i="5"/>
  <c r="F152" i="5"/>
  <c r="G152" i="5"/>
  <c r="H152" i="5"/>
  <c r="I152" i="5"/>
  <c r="F160" i="5"/>
  <c r="G160" i="5"/>
  <c r="H160" i="5"/>
  <c r="I160" i="5"/>
  <c r="F161" i="5"/>
  <c r="G161" i="5"/>
  <c r="H161" i="5"/>
  <c r="I161" i="5"/>
  <c r="F168" i="5"/>
  <c r="F167" i="5" s="1"/>
  <c r="G168" i="5"/>
  <c r="G167" i="5" s="1"/>
  <c r="H168" i="5"/>
  <c r="H167" i="5" s="1"/>
  <c r="I168" i="5"/>
  <c r="I167" i="5" s="1"/>
  <c r="F170" i="5"/>
  <c r="F169" i="5" s="1"/>
  <c r="G170" i="5"/>
  <c r="H170" i="5"/>
  <c r="I170" i="5"/>
  <c r="F179" i="5"/>
  <c r="F176" i="5" s="1"/>
  <c r="G179" i="5"/>
  <c r="H179" i="5"/>
  <c r="I179" i="5"/>
  <c r="F182" i="5"/>
  <c r="G182" i="5"/>
  <c r="H182" i="5"/>
  <c r="I182" i="5"/>
  <c r="F183" i="5"/>
  <c r="G183" i="5"/>
  <c r="H183" i="5"/>
  <c r="I183" i="5"/>
  <c r="F191" i="5"/>
  <c r="F190" i="5" s="1"/>
  <c r="G191" i="5"/>
  <c r="G190" i="5" s="1"/>
  <c r="H191" i="5"/>
  <c r="H190" i="5" s="1"/>
  <c r="I191" i="5"/>
  <c r="I190" i="5" s="1"/>
  <c r="F192" i="5"/>
  <c r="H192" i="5"/>
  <c r="I192" i="5"/>
  <c r="F209" i="5"/>
  <c r="F208" i="5" s="1"/>
  <c r="G209" i="5"/>
  <c r="G208" i="5" s="1"/>
  <c r="H209" i="5"/>
  <c r="H208" i="5" s="1"/>
  <c r="I209" i="5"/>
  <c r="I208" i="5" s="1"/>
  <c r="F212" i="5"/>
  <c r="G212" i="5"/>
  <c r="H212" i="5"/>
  <c r="H211" i="5" s="1"/>
  <c r="I212" i="5"/>
  <c r="I211" i="5" s="1"/>
  <c r="F214" i="5"/>
  <c r="F211" i="5" s="1"/>
  <c r="G211" i="5"/>
  <c r="F220" i="5"/>
  <c r="F219" i="5" s="1"/>
  <c r="G220" i="5"/>
  <c r="G219" i="5" s="1"/>
  <c r="H220" i="5"/>
  <c r="H219" i="5" s="1"/>
  <c r="I220" i="5"/>
  <c r="I219" i="5" s="1"/>
  <c r="F223" i="5"/>
  <c r="G223" i="5"/>
  <c r="H223" i="5"/>
  <c r="I223" i="5"/>
  <c r="F226" i="5"/>
  <c r="G226" i="5"/>
  <c r="H226" i="5"/>
  <c r="I226" i="5"/>
  <c r="F229" i="5"/>
  <c r="G229" i="5"/>
  <c r="H229" i="5"/>
  <c r="I229" i="5"/>
  <c r="F233" i="5"/>
  <c r="G233" i="5"/>
  <c r="H233" i="5"/>
  <c r="I233" i="5"/>
  <c r="F235" i="5"/>
  <c r="G235" i="5"/>
  <c r="H235" i="5"/>
  <c r="I235" i="5"/>
  <c r="F237" i="5"/>
  <c r="G237" i="5"/>
  <c r="H237" i="5"/>
  <c r="I237" i="5"/>
  <c r="F245" i="5"/>
  <c r="G245" i="5"/>
  <c r="H245" i="5"/>
  <c r="I245" i="5"/>
  <c r="F246" i="5"/>
  <c r="E62" i="4" s="1"/>
  <c r="G246" i="5"/>
  <c r="F62" i="4" s="1"/>
  <c r="H246" i="5"/>
  <c r="G62" i="4" s="1"/>
  <c r="I246" i="5"/>
  <c r="H62" i="4" s="1"/>
  <c r="F249" i="5"/>
  <c r="F248" i="5" s="1"/>
  <c r="G249" i="5"/>
  <c r="G248" i="5" s="1"/>
  <c r="H249" i="5"/>
  <c r="H248" i="5" s="1"/>
  <c r="I249" i="5"/>
  <c r="I248" i="5" s="1"/>
  <c r="F251" i="5"/>
  <c r="F250" i="5" s="1"/>
  <c r="G251" i="5"/>
  <c r="G250" i="5" s="1"/>
  <c r="H251" i="5"/>
  <c r="I251" i="5"/>
  <c r="I250" i="5" s="1"/>
  <c r="F254" i="5"/>
  <c r="G254" i="5"/>
  <c r="F68" i="4" s="1"/>
  <c r="H254" i="5"/>
  <c r="G68" i="4" s="1"/>
  <c r="I254" i="5"/>
  <c r="H68" i="4" s="1"/>
  <c r="F255" i="5"/>
  <c r="E69" i="4" s="1"/>
  <c r="G255" i="5"/>
  <c r="F69" i="4" s="1"/>
  <c r="H255" i="5"/>
  <c r="G69" i="4" s="1"/>
  <c r="I255" i="5"/>
  <c r="H69" i="4" s="1"/>
  <c r="F256" i="5"/>
  <c r="E70" i="4" s="1"/>
  <c r="G256" i="5"/>
  <c r="H256" i="5"/>
  <c r="G70" i="4" s="1"/>
  <c r="I256" i="5"/>
  <c r="H70" i="4" s="1"/>
  <c r="F257" i="5"/>
  <c r="E71" i="4" s="1"/>
  <c r="G257" i="5"/>
  <c r="F71" i="4" s="1"/>
  <c r="H257" i="5"/>
  <c r="G71" i="4" s="1"/>
  <c r="I257" i="5"/>
  <c r="H71" i="4" s="1"/>
  <c r="F258" i="5"/>
  <c r="G258" i="5"/>
  <c r="F72" i="4" s="1"/>
  <c r="H258" i="5"/>
  <c r="G72" i="4" s="1"/>
  <c r="I258" i="5"/>
  <c r="H72" i="4" s="1"/>
  <c r="G259" i="5"/>
  <c r="H259" i="5"/>
  <c r="I259" i="5"/>
  <c r="F262" i="5"/>
  <c r="F261" i="5" s="1"/>
  <c r="G262" i="5"/>
  <c r="G261" i="5" s="1"/>
  <c r="H262" i="5"/>
  <c r="H261" i="5" s="1"/>
  <c r="I262" i="5"/>
  <c r="I261" i="5" s="1"/>
  <c r="F264" i="5"/>
  <c r="F263" i="5" s="1"/>
  <c r="G264" i="5"/>
  <c r="G263" i="5" s="1"/>
  <c r="H264" i="5"/>
  <c r="H263" i="5" s="1"/>
  <c r="I264" i="5"/>
  <c r="F268" i="5"/>
  <c r="G268" i="5"/>
  <c r="H268" i="5"/>
  <c r="I268" i="5"/>
  <c r="F269" i="5"/>
  <c r="G269" i="5"/>
  <c r="F85" i="4" s="1"/>
  <c r="H269" i="5"/>
  <c r="G85" i="4" s="1"/>
  <c r="I269" i="5"/>
  <c r="H85" i="4" s="1"/>
  <c r="G270" i="5"/>
  <c r="H270" i="5"/>
  <c r="I270" i="5"/>
  <c r="F273" i="5"/>
  <c r="G273" i="5"/>
  <c r="G272" i="5" s="1"/>
  <c r="H273" i="5"/>
  <c r="H272" i="5" s="1"/>
  <c r="I273" i="5"/>
  <c r="I272" i="5" s="1"/>
  <c r="F275" i="5"/>
  <c r="E92" i="4" s="1"/>
  <c r="G275" i="5"/>
  <c r="F92" i="4" s="1"/>
  <c r="H275" i="5"/>
  <c r="G92" i="4" s="1"/>
  <c r="I275" i="5"/>
  <c r="H92" i="4" s="1"/>
  <c r="F276" i="5"/>
  <c r="G276" i="5"/>
  <c r="H276" i="5"/>
  <c r="I276" i="5"/>
  <c r="F278" i="5"/>
  <c r="G278" i="5"/>
  <c r="G277" i="5" s="1"/>
  <c r="H278" i="5"/>
  <c r="H277" i="5" s="1"/>
  <c r="I278" i="5"/>
  <c r="I277" i="5" s="1"/>
  <c r="F281" i="5"/>
  <c r="G281" i="5"/>
  <c r="H281" i="5"/>
  <c r="I281" i="5"/>
  <c r="F282" i="5"/>
  <c r="E99" i="4" s="1"/>
  <c r="G282" i="5"/>
  <c r="F99" i="4" s="1"/>
  <c r="H282" i="5"/>
  <c r="G99" i="4" s="1"/>
  <c r="I282" i="5"/>
  <c r="H99" i="4" s="1"/>
  <c r="F283" i="5"/>
  <c r="G283" i="5"/>
  <c r="H283" i="5"/>
  <c r="I283" i="5"/>
  <c r="F284" i="5"/>
  <c r="E101" i="4" s="1"/>
  <c r="G284" i="5"/>
  <c r="F101" i="4" s="1"/>
  <c r="H284" i="5"/>
  <c r="G101" i="4" s="1"/>
  <c r="I284" i="5"/>
  <c r="H101" i="4" s="1"/>
  <c r="G286" i="5"/>
  <c r="H286" i="5"/>
  <c r="I286" i="5"/>
  <c r="F288" i="5"/>
  <c r="G288" i="5"/>
  <c r="H288" i="5"/>
  <c r="I288" i="5"/>
  <c r="F291" i="5"/>
  <c r="G291" i="5"/>
  <c r="H291" i="5"/>
  <c r="I291" i="5"/>
  <c r="F292" i="5"/>
  <c r="E109" i="4" s="1"/>
  <c r="G292" i="5"/>
  <c r="F109" i="4" s="1"/>
  <c r="H292" i="5"/>
  <c r="G109" i="4" s="1"/>
  <c r="I292" i="5"/>
  <c r="H109" i="4" s="1"/>
  <c r="F294" i="5"/>
  <c r="G294" i="5"/>
  <c r="H294" i="5"/>
  <c r="I294" i="5"/>
  <c r="F295" i="5"/>
  <c r="E112" i="4" s="1"/>
  <c r="G295" i="5"/>
  <c r="F112" i="4" s="1"/>
  <c r="H295" i="5"/>
  <c r="G112" i="4" s="1"/>
  <c r="I295" i="5"/>
  <c r="H112" i="4" s="1"/>
  <c r="F296" i="5"/>
  <c r="G296" i="5"/>
  <c r="H296" i="5"/>
  <c r="I296" i="5"/>
  <c r="F297" i="5"/>
  <c r="G297" i="5"/>
  <c r="H297" i="5"/>
  <c r="I297" i="5"/>
  <c r="F299" i="5"/>
  <c r="G299" i="5"/>
  <c r="H299" i="5"/>
  <c r="I299" i="5"/>
  <c r="F300" i="5"/>
  <c r="E117" i="4" s="1"/>
  <c r="G300" i="5"/>
  <c r="F117" i="4" s="1"/>
  <c r="H300" i="5"/>
  <c r="G117" i="4" s="1"/>
  <c r="I300" i="5"/>
  <c r="H117" i="4" s="1"/>
  <c r="F301" i="5"/>
  <c r="E118" i="4" s="1"/>
  <c r="G301" i="5"/>
  <c r="F118" i="4" s="1"/>
  <c r="H301" i="5"/>
  <c r="G118" i="4" s="1"/>
  <c r="I301" i="5"/>
  <c r="H118" i="4" s="1"/>
  <c r="F302" i="5"/>
  <c r="E119" i="4" s="1"/>
  <c r="G302" i="5"/>
  <c r="F119" i="4" s="1"/>
  <c r="H302" i="5"/>
  <c r="G119" i="4" s="1"/>
  <c r="I302" i="5"/>
  <c r="H119" i="4" s="1"/>
  <c r="F304" i="5"/>
  <c r="G304" i="5"/>
  <c r="H304" i="5"/>
  <c r="I304" i="5"/>
  <c r="F307" i="5"/>
  <c r="F306" i="5" s="1"/>
  <c r="G307" i="5"/>
  <c r="H307" i="5"/>
  <c r="H306" i="5" s="1"/>
  <c r="I307" i="5"/>
  <c r="I306" i="5" s="1"/>
  <c r="F310" i="5"/>
  <c r="G310" i="5"/>
  <c r="F127" i="4" s="1"/>
  <c r="H310" i="5"/>
  <c r="G127" i="4" s="1"/>
  <c r="I310" i="5"/>
  <c r="H127" i="4" s="1"/>
  <c r="F311" i="5"/>
  <c r="E128" i="4" s="1"/>
  <c r="G311" i="5"/>
  <c r="F128" i="4" s="1"/>
  <c r="H311" i="5"/>
  <c r="G128" i="4" s="1"/>
  <c r="I311" i="5"/>
  <c r="H128" i="4" s="1"/>
  <c r="F312" i="5"/>
  <c r="G312" i="5"/>
  <c r="H312" i="5"/>
  <c r="I312" i="5"/>
  <c r="F314" i="5"/>
  <c r="G314" i="5"/>
  <c r="H314" i="5"/>
  <c r="I314" i="5"/>
  <c r="F315" i="5"/>
  <c r="G315" i="5"/>
  <c r="H315" i="5"/>
  <c r="I315" i="5"/>
  <c r="F319" i="5"/>
  <c r="F318" i="5" s="1"/>
  <c r="G319" i="5"/>
  <c r="H319" i="5"/>
  <c r="H318" i="5" s="1"/>
  <c r="I319" i="5"/>
  <c r="I318" i="5" s="1"/>
  <c r="F321" i="5"/>
  <c r="E139" i="4" s="1"/>
  <c r="G321" i="5"/>
  <c r="H321" i="5"/>
  <c r="G139" i="4" s="1"/>
  <c r="I321" i="5"/>
  <c r="H139" i="4" s="1"/>
  <c r="F322" i="5"/>
  <c r="E140" i="4" s="1"/>
  <c r="G322" i="5"/>
  <c r="F140" i="4" s="1"/>
  <c r="H322" i="5"/>
  <c r="G140" i="4" s="1"/>
  <c r="I322" i="5"/>
  <c r="H140" i="4" s="1"/>
  <c r="F323" i="5"/>
  <c r="E141" i="4" s="1"/>
  <c r="G323" i="5"/>
  <c r="F141" i="4" s="1"/>
  <c r="H323" i="5"/>
  <c r="G141" i="4" s="1"/>
  <c r="I323" i="5"/>
  <c r="H141" i="4" s="1"/>
  <c r="G328" i="5"/>
  <c r="F146" i="4" s="1"/>
  <c r="H328" i="5"/>
  <c r="G146" i="4" s="1"/>
  <c r="I328" i="5"/>
  <c r="H146" i="4" s="1"/>
  <c r="F332" i="5"/>
  <c r="F329" i="5" s="1"/>
  <c r="G332" i="5"/>
  <c r="G329" i="5" s="1"/>
  <c r="H332" i="5"/>
  <c r="H329" i="5" s="1"/>
  <c r="I332" i="5"/>
  <c r="I329" i="5" s="1"/>
  <c r="F337" i="5"/>
  <c r="F333" i="5" s="1"/>
  <c r="G337" i="5"/>
  <c r="G333" i="5" s="1"/>
  <c r="H337" i="5"/>
  <c r="H333" i="5" s="1"/>
  <c r="I337" i="5"/>
  <c r="I333" i="5" s="1"/>
  <c r="F339" i="5"/>
  <c r="G339" i="5"/>
  <c r="H339" i="5"/>
  <c r="I339" i="5"/>
  <c r="F340" i="5"/>
  <c r="E158" i="4" s="1"/>
  <c r="G340" i="5"/>
  <c r="F158" i="4" s="1"/>
  <c r="H340" i="5"/>
  <c r="G158" i="4" s="1"/>
  <c r="I340" i="5"/>
  <c r="H158" i="4" s="1"/>
  <c r="F341" i="5"/>
  <c r="E159" i="4" s="1"/>
  <c r="G341" i="5"/>
  <c r="F159" i="4" s="1"/>
  <c r="H341" i="5"/>
  <c r="G159" i="4" s="1"/>
  <c r="I341" i="5"/>
  <c r="H159" i="4" s="1"/>
  <c r="G342" i="5"/>
  <c r="H342" i="5"/>
  <c r="I342" i="5"/>
  <c r="F344" i="5"/>
  <c r="F343" i="5" s="1"/>
  <c r="G344" i="5"/>
  <c r="G343" i="5" s="1"/>
  <c r="H344" i="5"/>
  <c r="H343" i="5" s="1"/>
  <c r="I344" i="5"/>
  <c r="I343" i="5" s="1"/>
  <c r="F347" i="5"/>
  <c r="G347" i="5"/>
  <c r="H347" i="5"/>
  <c r="I347" i="5"/>
  <c r="F348" i="5"/>
  <c r="E167" i="4" s="1"/>
  <c r="G348" i="5"/>
  <c r="F167" i="4" s="1"/>
  <c r="H348" i="5"/>
  <c r="G167" i="4" s="1"/>
  <c r="I348" i="5"/>
  <c r="H167" i="4" s="1"/>
  <c r="G349" i="5"/>
  <c r="H349" i="5"/>
  <c r="I349" i="5"/>
  <c r="F352" i="5"/>
  <c r="G352" i="5"/>
  <c r="G351" i="5" s="1"/>
  <c r="G350" i="5" s="1"/>
  <c r="H352" i="5"/>
  <c r="H351" i="5" s="1"/>
  <c r="H350" i="5" s="1"/>
  <c r="I352" i="5"/>
  <c r="I351" i="5" s="1"/>
  <c r="I350" i="5" s="1"/>
  <c r="F355" i="5"/>
  <c r="G355" i="5"/>
  <c r="H355" i="5"/>
  <c r="I355" i="5"/>
  <c r="F356" i="5"/>
  <c r="G356" i="5"/>
  <c r="H356" i="5"/>
  <c r="I356" i="5"/>
  <c r="F363" i="5"/>
  <c r="G363" i="5"/>
  <c r="G362" i="5" s="1"/>
  <c r="H363" i="5"/>
  <c r="H362" i="5" s="1"/>
  <c r="I363" i="5"/>
  <c r="I362" i="5" s="1"/>
  <c r="F365" i="5"/>
  <c r="G365" i="5"/>
  <c r="H365" i="5"/>
  <c r="I365" i="5"/>
  <c r="F366" i="5"/>
  <c r="E185" i="4" s="1"/>
  <c r="G366" i="5"/>
  <c r="F185" i="4" s="1"/>
  <c r="H366" i="5"/>
  <c r="G185" i="4" s="1"/>
  <c r="I366" i="5"/>
  <c r="H185" i="4" s="1"/>
  <c r="G367" i="5"/>
  <c r="H367" i="5"/>
  <c r="I367" i="5"/>
  <c r="F369" i="5"/>
  <c r="F368" i="5" s="1"/>
  <c r="G369" i="5"/>
  <c r="H369" i="5"/>
  <c r="H368" i="5" s="1"/>
  <c r="I369" i="5"/>
  <c r="I368" i="5" s="1"/>
  <c r="F371" i="5"/>
  <c r="G371" i="5"/>
  <c r="F190" i="4" s="1"/>
  <c r="H371" i="5"/>
  <c r="I371" i="5"/>
  <c r="F374" i="5"/>
  <c r="G374" i="5"/>
  <c r="F193" i="4" s="1"/>
  <c r="H374" i="5"/>
  <c r="I374" i="5"/>
  <c r="H193" i="4" s="1"/>
  <c r="F375" i="5"/>
  <c r="E194" i="4" s="1"/>
  <c r="G375" i="5"/>
  <c r="F194" i="4" s="1"/>
  <c r="H375" i="5"/>
  <c r="G194" i="4" s="1"/>
  <c r="I375" i="5"/>
  <c r="H194" i="4" s="1"/>
  <c r="G376" i="5"/>
  <c r="F196" i="4" s="1"/>
  <c r="H376" i="5"/>
  <c r="G196" i="4" s="1"/>
  <c r="I376" i="5"/>
  <c r="H196" i="4" s="1"/>
  <c r="F378" i="5"/>
  <c r="F377" i="5" s="1"/>
  <c r="G378" i="5"/>
  <c r="G377" i="5" s="1"/>
  <c r="H378" i="5"/>
  <c r="I378" i="5"/>
  <c r="I377" i="5" s="1"/>
  <c r="F380" i="5"/>
  <c r="E200" i="4" s="1"/>
  <c r="G380" i="5"/>
  <c r="F200" i="4" s="1"/>
  <c r="H380" i="5"/>
  <c r="G200" i="4" s="1"/>
  <c r="I380" i="5"/>
  <c r="H200" i="4" s="1"/>
  <c r="F381" i="5"/>
  <c r="G381" i="5"/>
  <c r="F201" i="4" s="1"/>
  <c r="H381" i="5"/>
  <c r="G201" i="4" s="1"/>
  <c r="I381" i="5"/>
  <c r="H201" i="4" s="1"/>
  <c r="F386" i="5"/>
  <c r="G386" i="5"/>
  <c r="H386" i="5"/>
  <c r="I386" i="5"/>
  <c r="F388" i="5"/>
  <c r="E209" i="4" s="1"/>
  <c r="G388" i="5"/>
  <c r="F209" i="4" s="1"/>
  <c r="H388" i="5"/>
  <c r="G209" i="4" s="1"/>
  <c r="I388" i="5"/>
  <c r="H209" i="4" s="1"/>
  <c r="F389" i="5"/>
  <c r="E210" i="4" s="1"/>
  <c r="G389" i="5"/>
  <c r="F210" i="4" s="1"/>
  <c r="H389" i="5"/>
  <c r="G210" i="4" s="1"/>
  <c r="I389" i="5"/>
  <c r="H210" i="4" s="1"/>
  <c r="F390" i="5"/>
  <c r="E211" i="4" s="1"/>
  <c r="G390" i="5"/>
  <c r="F211" i="4" s="1"/>
  <c r="H390" i="5"/>
  <c r="G211" i="4" s="1"/>
  <c r="I390" i="5"/>
  <c r="H211" i="4" s="1"/>
  <c r="G391" i="5"/>
  <c r="F212" i="4" s="1"/>
  <c r="H391" i="5"/>
  <c r="G212" i="4" s="1"/>
  <c r="I391" i="5"/>
  <c r="H212" i="4" s="1"/>
  <c r="F393" i="5"/>
  <c r="G393" i="5"/>
  <c r="H393" i="5"/>
  <c r="I393" i="5"/>
  <c r="I392" i="5" s="1"/>
  <c r="F395" i="5"/>
  <c r="F394" i="5" s="1"/>
  <c r="G395" i="5"/>
  <c r="G394" i="5" s="1"/>
  <c r="H395" i="5"/>
  <c r="H394" i="5" s="1"/>
  <c r="I395" i="5"/>
  <c r="I394" i="5" s="1"/>
  <c r="F401" i="5"/>
  <c r="E222" i="4" s="1"/>
  <c r="G401" i="5"/>
  <c r="F222" i="4" s="1"/>
  <c r="H401" i="5"/>
  <c r="G222" i="4" s="1"/>
  <c r="I401" i="5"/>
  <c r="H222" i="4" s="1"/>
  <c r="F402" i="5"/>
  <c r="E223" i="4" s="1"/>
  <c r="G402" i="5"/>
  <c r="F223" i="4" s="1"/>
  <c r="H402" i="5"/>
  <c r="G223" i="4" s="1"/>
  <c r="I402" i="5"/>
  <c r="H223" i="4" s="1"/>
  <c r="F404" i="5"/>
  <c r="G404" i="5"/>
  <c r="H404" i="5"/>
  <c r="I404" i="5"/>
  <c r="F410" i="5"/>
  <c r="G410" i="5"/>
  <c r="H410" i="5"/>
  <c r="G231" i="4" s="1"/>
  <c r="I410" i="5"/>
  <c r="F412" i="5"/>
  <c r="G412" i="5"/>
  <c r="H412" i="5"/>
  <c r="I412" i="5"/>
  <c r="F416" i="5"/>
  <c r="G416" i="5"/>
  <c r="H416" i="5"/>
  <c r="I416" i="5"/>
  <c r="F418" i="5"/>
  <c r="F415" i="5" s="1"/>
  <c r="G418" i="5"/>
  <c r="G415" i="5" s="1"/>
  <c r="H418" i="5"/>
  <c r="H415" i="5" s="1"/>
  <c r="I418" i="5"/>
  <c r="I415" i="5" s="1"/>
  <c r="F423" i="5"/>
  <c r="G423" i="5"/>
  <c r="H423" i="5"/>
  <c r="I423" i="5"/>
  <c r="F424" i="5"/>
  <c r="G424" i="5"/>
  <c r="H424" i="5"/>
  <c r="I424" i="5"/>
  <c r="F425" i="5"/>
  <c r="E249" i="4" s="1"/>
  <c r="G425" i="5"/>
  <c r="F249" i="4" s="1"/>
  <c r="H425" i="5"/>
  <c r="G249" i="4" s="1"/>
  <c r="I425" i="5"/>
  <c r="H249" i="4" s="1"/>
  <c r="F428" i="5"/>
  <c r="G428" i="5"/>
  <c r="H428" i="5"/>
  <c r="G253" i="4" s="1"/>
  <c r="I428" i="5"/>
  <c r="H253" i="4" s="1"/>
  <c r="F429" i="5"/>
  <c r="E254" i="4" s="1"/>
  <c r="G429" i="5"/>
  <c r="H429" i="5"/>
  <c r="I429" i="5"/>
  <c r="F431" i="5"/>
  <c r="G431" i="5"/>
  <c r="H431" i="5"/>
  <c r="I431" i="5"/>
  <c r="F432" i="5"/>
  <c r="E257" i="4" s="1"/>
  <c r="G432" i="5"/>
  <c r="F257" i="4" s="1"/>
  <c r="H432" i="5"/>
  <c r="G257" i="4" s="1"/>
  <c r="I432" i="5"/>
  <c r="H257" i="4" s="1"/>
  <c r="F434" i="5"/>
  <c r="F433" i="5" s="1"/>
  <c r="G434" i="5"/>
  <c r="H434" i="5"/>
  <c r="I434" i="5"/>
  <c r="F436" i="5"/>
  <c r="F435" i="5" s="1"/>
  <c r="G436" i="5"/>
  <c r="H436" i="5"/>
  <c r="I436" i="5"/>
  <c r="F439" i="5"/>
  <c r="G439" i="5"/>
  <c r="H439" i="5"/>
  <c r="I439" i="5"/>
  <c r="F440" i="5"/>
  <c r="G440" i="5"/>
  <c r="H440" i="5"/>
  <c r="I440" i="5"/>
  <c r="F445" i="5"/>
  <c r="F444" i="5" s="1"/>
  <c r="F443" i="5" s="1"/>
  <c r="G445" i="5"/>
  <c r="H445" i="5"/>
  <c r="I445" i="5"/>
  <c r="F446" i="5"/>
  <c r="G446" i="5"/>
  <c r="H446" i="5"/>
  <c r="I446" i="5"/>
  <c r="F479" i="5"/>
  <c r="F478" i="5" s="1"/>
  <c r="G478" i="5"/>
  <c r="H478" i="5"/>
  <c r="I478" i="5"/>
  <c r="F480" i="5"/>
  <c r="G480" i="5"/>
  <c r="H480" i="5"/>
  <c r="I480" i="5"/>
  <c r="F490" i="5"/>
  <c r="F489" i="5" s="1"/>
  <c r="F487" i="5" s="1"/>
  <c r="F486" i="5" s="1"/>
  <c r="F485" i="5" s="1"/>
  <c r="G490" i="5"/>
  <c r="G489" i="5" s="1"/>
  <c r="G487" i="5" s="1"/>
  <c r="G486" i="5" s="1"/>
  <c r="G485" i="5" s="1"/>
  <c r="H490" i="5"/>
  <c r="H489" i="5" s="1"/>
  <c r="H487" i="5" s="1"/>
  <c r="H486" i="5" s="1"/>
  <c r="H485" i="5" s="1"/>
  <c r="I490" i="5"/>
  <c r="I489" i="5" s="1"/>
  <c r="I487" i="5" s="1"/>
  <c r="I486" i="5" s="1"/>
  <c r="I485" i="5" s="1"/>
  <c r="F494" i="5"/>
  <c r="F498" i="5"/>
  <c r="H492" i="5"/>
  <c r="H511" i="5" s="1"/>
  <c r="I492" i="5"/>
  <c r="I511" i="5" s="1"/>
  <c r="F503" i="5"/>
  <c r="F553" i="5"/>
  <c r="G553" i="5"/>
  <c r="H553" i="5"/>
  <c r="I553" i="5"/>
  <c r="F554" i="5"/>
  <c r="G554" i="5"/>
  <c r="H554" i="5"/>
  <c r="I554" i="5"/>
  <c r="F558" i="5"/>
  <c r="F557" i="5" s="1"/>
  <c r="F556" i="5" s="1"/>
  <c r="G558" i="5"/>
  <c r="G557" i="5" s="1"/>
  <c r="G556" i="5" s="1"/>
  <c r="H558" i="5"/>
  <c r="H557" i="5" s="1"/>
  <c r="H556" i="5" s="1"/>
  <c r="I558" i="5"/>
  <c r="I557" i="5" s="1"/>
  <c r="I556" i="5" s="1"/>
  <c r="G562" i="5"/>
  <c r="G561" i="5" s="1"/>
  <c r="G560" i="5" s="1"/>
  <c r="H562" i="5"/>
  <c r="H561" i="5" s="1"/>
  <c r="H560" i="5" s="1"/>
  <c r="I562" i="5"/>
  <c r="I561" i="5" s="1"/>
  <c r="I560" i="5" s="1"/>
  <c r="F568" i="5"/>
  <c r="F567" i="5" s="1"/>
  <c r="G568" i="5"/>
  <c r="G567" i="5" s="1"/>
  <c r="H568" i="5"/>
  <c r="H567" i="5" s="1"/>
  <c r="I568" i="5"/>
  <c r="I567" i="5" s="1"/>
  <c r="F576" i="5"/>
  <c r="F575" i="5" s="1"/>
  <c r="F574" i="5" s="1"/>
  <c r="F573" i="5" s="1"/>
  <c r="G576" i="5"/>
  <c r="G575" i="5" s="1"/>
  <c r="G574" i="5" s="1"/>
  <c r="G573" i="5" s="1"/>
  <c r="G546" i="5" s="1"/>
  <c r="H576" i="5"/>
  <c r="H575" i="5" s="1"/>
  <c r="H574" i="5" s="1"/>
  <c r="H573" i="5" s="1"/>
  <c r="H546" i="5" s="1"/>
  <c r="I576" i="5"/>
  <c r="I575" i="5" s="1"/>
  <c r="I574" i="5" s="1"/>
  <c r="I573" i="5" s="1"/>
  <c r="I546" i="5" s="1"/>
  <c r="F581" i="5"/>
  <c r="G581" i="5"/>
  <c r="H581" i="5"/>
  <c r="I581" i="5"/>
  <c r="F590" i="5"/>
  <c r="F589" i="5" s="1"/>
  <c r="F588" i="5" s="1"/>
  <c r="G590" i="5"/>
  <c r="G589" i="5" s="1"/>
  <c r="G588" i="5" s="1"/>
  <c r="G580" i="5" s="1"/>
  <c r="G579" i="5" s="1"/>
  <c r="H590" i="5"/>
  <c r="H589" i="5" s="1"/>
  <c r="H588" i="5" s="1"/>
  <c r="I590" i="5"/>
  <c r="I589" i="5" s="1"/>
  <c r="I588" i="5" s="1"/>
  <c r="I580" i="5" s="1"/>
  <c r="I579" i="5" s="1"/>
  <c r="F593" i="5"/>
  <c r="G593" i="5"/>
  <c r="H593" i="5"/>
  <c r="I593" i="5"/>
  <c r="F597" i="5"/>
  <c r="F596" i="5" s="1"/>
  <c r="F595" i="5" s="1"/>
  <c r="G597" i="5"/>
  <c r="G596" i="5" s="1"/>
  <c r="G595" i="5" s="1"/>
  <c r="G592" i="5" s="1"/>
  <c r="H597" i="5"/>
  <c r="H596" i="5" s="1"/>
  <c r="H595" i="5" s="1"/>
  <c r="I597" i="5"/>
  <c r="I596" i="5" s="1"/>
  <c r="I595" i="5" s="1"/>
  <c r="I592" i="5" s="1"/>
  <c r="F598" i="5"/>
  <c r="G598" i="5"/>
  <c r="H598" i="5"/>
  <c r="I598" i="5"/>
  <c r="E257" i="6"/>
  <c r="F257" i="6"/>
  <c r="G257" i="6"/>
  <c r="E633" i="6"/>
  <c r="E632" i="6" s="1"/>
  <c r="E630" i="6"/>
  <c r="F630" i="6"/>
  <c r="G630" i="6"/>
  <c r="E628" i="6"/>
  <c r="F628" i="6"/>
  <c r="G628" i="6"/>
  <c r="E626" i="6"/>
  <c r="F626" i="6"/>
  <c r="G626" i="6"/>
  <c r="E623" i="6"/>
  <c r="F623" i="6"/>
  <c r="G623" i="6"/>
  <c r="E620" i="6"/>
  <c r="F620" i="6"/>
  <c r="G620" i="6"/>
  <c r="E617" i="6"/>
  <c r="F617" i="6"/>
  <c r="G617" i="6"/>
  <c r="E615" i="6"/>
  <c r="F615" i="6"/>
  <c r="G615" i="6"/>
  <c r="E611" i="6"/>
  <c r="F611" i="6"/>
  <c r="G611" i="6"/>
  <c r="E600" i="6"/>
  <c r="E599" i="6" s="1"/>
  <c r="F600" i="6"/>
  <c r="F599" i="6" s="1"/>
  <c r="G600" i="6"/>
  <c r="G599" i="6" s="1"/>
  <c r="H114" i="4" l="1"/>
  <c r="H96" i="1"/>
  <c r="E19" i="9"/>
  <c r="E18" i="9" s="1"/>
  <c r="I96" i="1"/>
  <c r="F19" i="9"/>
  <c r="F18" i="9" s="1"/>
  <c r="H580" i="5"/>
  <c r="H579" i="5" s="1"/>
  <c r="H86" i="4"/>
  <c r="G84" i="4"/>
  <c r="G114" i="4"/>
  <c r="G86" i="4"/>
  <c r="F84" i="4"/>
  <c r="F114" i="4"/>
  <c r="G163" i="4"/>
  <c r="H84" i="4"/>
  <c r="F86" i="4"/>
  <c r="I444" i="5"/>
  <c r="I443" i="5" s="1"/>
  <c r="I442" i="5" s="1"/>
  <c r="H270" i="4"/>
  <c r="H269" i="4" s="1"/>
  <c r="H268" i="4" s="1"/>
  <c r="I435" i="5"/>
  <c r="H260" i="4"/>
  <c r="F131" i="4"/>
  <c r="H175" i="4"/>
  <c r="I176" i="5"/>
  <c r="H168" i="4"/>
  <c r="I169" i="5"/>
  <c r="H157" i="4"/>
  <c r="I134" i="5"/>
  <c r="H93" i="4"/>
  <c r="I131" i="5"/>
  <c r="H89" i="4"/>
  <c r="H88" i="4" s="1"/>
  <c r="I122" i="5"/>
  <c r="I121" i="5" s="1"/>
  <c r="H78" i="4"/>
  <c r="H77" i="4" s="1"/>
  <c r="H74" i="4"/>
  <c r="G192" i="5"/>
  <c r="G188" i="5" s="1"/>
  <c r="F188" i="4"/>
  <c r="F187" i="4" s="1"/>
  <c r="F163" i="4"/>
  <c r="I547" i="5"/>
  <c r="F37" i="9"/>
  <c r="F36" i="9" s="1"/>
  <c r="H547" i="5"/>
  <c r="E37" i="9"/>
  <c r="E36" i="9" s="1"/>
  <c r="H512" i="5"/>
  <c r="E35" i="9"/>
  <c r="E34" i="9" s="1"/>
  <c r="H444" i="5"/>
  <c r="H443" i="5" s="1"/>
  <c r="H442" i="5" s="1"/>
  <c r="H435" i="5"/>
  <c r="G260" i="4"/>
  <c r="H433" i="5"/>
  <c r="G175" i="4"/>
  <c r="H176" i="5"/>
  <c r="G168" i="4"/>
  <c r="H169" i="5"/>
  <c r="G157" i="4"/>
  <c r="H134" i="5"/>
  <c r="H125" i="5" s="1"/>
  <c r="G93" i="4"/>
  <c r="G91" i="4" s="1"/>
  <c r="H131" i="5"/>
  <c r="G89" i="4"/>
  <c r="G88" i="4" s="1"/>
  <c r="H122" i="5"/>
  <c r="H121" i="5" s="1"/>
  <c r="G78" i="4"/>
  <c r="G77" i="4" s="1"/>
  <c r="G74" i="4"/>
  <c r="H163" i="4"/>
  <c r="G188" i="4"/>
  <c r="G187" i="4" s="1"/>
  <c r="H188" i="4"/>
  <c r="H187" i="4" s="1"/>
  <c r="I512" i="5"/>
  <c r="F35" i="9"/>
  <c r="F34" i="9" s="1"/>
  <c r="I433" i="5"/>
  <c r="H258" i="4"/>
  <c r="G547" i="5"/>
  <c r="D37" i="9"/>
  <c r="D36" i="9" s="1"/>
  <c r="G444" i="5"/>
  <c r="G443" i="5" s="1"/>
  <c r="G442" i="5" s="1"/>
  <c r="F270" i="4"/>
  <c r="F269" i="4" s="1"/>
  <c r="F268" i="4" s="1"/>
  <c r="G433" i="5"/>
  <c r="F258" i="4"/>
  <c r="F175" i="4"/>
  <c r="G176" i="5"/>
  <c r="F168" i="4"/>
  <c r="G169" i="5"/>
  <c r="F157" i="4"/>
  <c r="G134" i="5"/>
  <c r="F93" i="4"/>
  <c r="G131" i="5"/>
  <c r="F89" i="4"/>
  <c r="F88" i="4" s="1"/>
  <c r="G122" i="5"/>
  <c r="G121" i="5" s="1"/>
  <c r="F78" i="4"/>
  <c r="F74" i="4"/>
  <c r="G95" i="1"/>
  <c r="F91" i="1"/>
  <c r="F76" i="1"/>
  <c r="G68" i="1"/>
  <c r="I68" i="1"/>
  <c r="H68" i="1"/>
  <c r="G9" i="1"/>
  <c r="H9" i="1"/>
  <c r="F49" i="1"/>
  <c r="C12" i="9" s="1"/>
  <c r="D15" i="9"/>
  <c r="F15" i="9"/>
  <c r="F14" i="9" s="1"/>
  <c r="E15" i="9"/>
  <c r="I475" i="5"/>
  <c r="H475" i="5"/>
  <c r="G475" i="5"/>
  <c r="G78" i="5"/>
  <c r="E114" i="4"/>
  <c r="F651" i="6"/>
  <c r="F637" i="6" s="1"/>
  <c r="F636" i="6" s="1"/>
  <c r="F635" i="6" s="1"/>
  <c r="H112" i="1"/>
  <c r="H120" i="1" s="1"/>
  <c r="E23" i="9" s="1"/>
  <c r="E22" i="9" s="1"/>
  <c r="E175" i="4"/>
  <c r="F10" i="9"/>
  <c r="F9" i="9" s="1"/>
  <c r="G112" i="1"/>
  <c r="G120" i="1" s="1"/>
  <c r="D23" i="9" s="1"/>
  <c r="E68" i="4"/>
  <c r="E10" i="9"/>
  <c r="E9" i="9" s="1"/>
  <c r="E651" i="6"/>
  <c r="E637" i="6" s="1"/>
  <c r="E636" i="6" s="1"/>
  <c r="E635" i="6" s="1"/>
  <c r="D637" i="6"/>
  <c r="D636" i="6" s="1"/>
  <c r="D635" i="6" s="1"/>
  <c r="C10" i="9"/>
  <c r="D10" i="9"/>
  <c r="D9" i="9" s="1"/>
  <c r="G43" i="1"/>
  <c r="I112" i="1"/>
  <c r="I120" i="1" s="1"/>
  <c r="F23" i="9" s="1"/>
  <c r="F22" i="9" s="1"/>
  <c r="F70" i="4"/>
  <c r="G253" i="5"/>
  <c r="G252" i="5" s="1"/>
  <c r="I253" i="5"/>
  <c r="I252" i="5" s="1"/>
  <c r="H253" i="5"/>
  <c r="H252" i="5" s="1"/>
  <c r="I9" i="1"/>
  <c r="H43" i="1"/>
  <c r="I43" i="1"/>
  <c r="F112" i="1"/>
  <c r="F120" i="1" s="1"/>
  <c r="C23" i="9" s="1"/>
  <c r="F43" i="1"/>
  <c r="C8" i="9" s="1"/>
  <c r="F475" i="5"/>
  <c r="C651" i="6"/>
  <c r="G651" i="6"/>
  <c r="G637" i="6" s="1"/>
  <c r="G636" i="6" s="1"/>
  <c r="G635" i="6" s="1"/>
  <c r="I33" i="5"/>
  <c r="F33" i="5"/>
  <c r="G33" i="5"/>
  <c r="E84" i="4"/>
  <c r="H33" i="5"/>
  <c r="G523" i="6"/>
  <c r="G522" i="6" s="1"/>
  <c r="G521" i="6" s="1"/>
  <c r="D523" i="6"/>
  <c r="D522" i="6" s="1"/>
  <c r="D521" i="6" s="1"/>
  <c r="E523" i="6"/>
  <c r="E522" i="6" s="1"/>
  <c r="E521" i="6" s="1"/>
  <c r="C523" i="6"/>
  <c r="C522" i="6" s="1"/>
  <c r="C521" i="6" s="1"/>
  <c r="F523" i="6"/>
  <c r="F522" i="6" s="1"/>
  <c r="F521" i="6" s="1"/>
  <c r="I438" i="5"/>
  <c r="I437" i="5" s="1"/>
  <c r="H263" i="4"/>
  <c r="H262" i="4" s="1"/>
  <c r="F438" i="5"/>
  <c r="F437" i="5" s="1"/>
  <c r="E264" i="4"/>
  <c r="E263" i="4" s="1"/>
  <c r="E262" i="4" s="1"/>
  <c r="H438" i="5"/>
  <c r="H437" i="5" s="1"/>
  <c r="G263" i="4"/>
  <c r="G262" i="4" s="1"/>
  <c r="F579" i="5"/>
  <c r="F409" i="5"/>
  <c r="F406" i="5" s="1"/>
  <c r="F403" i="5" s="1"/>
  <c r="E231" i="4"/>
  <c r="E230" i="4" s="1"/>
  <c r="E227" i="4" s="1"/>
  <c r="E224" i="4" s="1"/>
  <c r="I409" i="5"/>
  <c r="I406" i="5" s="1"/>
  <c r="I403" i="5" s="1"/>
  <c r="H231" i="4"/>
  <c r="H230" i="4" s="1"/>
  <c r="H227" i="4" s="1"/>
  <c r="H224" i="4" s="1"/>
  <c r="G409" i="5"/>
  <c r="G406" i="5" s="1"/>
  <c r="G403" i="5" s="1"/>
  <c r="F231" i="4"/>
  <c r="F230" i="4" s="1"/>
  <c r="F227" i="4" s="1"/>
  <c r="F224" i="4" s="1"/>
  <c r="H214" i="4"/>
  <c r="H213" i="4" s="1"/>
  <c r="G392" i="5"/>
  <c r="F214" i="4"/>
  <c r="F213" i="4" s="1"/>
  <c r="F392" i="5"/>
  <c r="E214" i="4"/>
  <c r="E213" i="4" s="1"/>
  <c r="H392" i="5"/>
  <c r="G214" i="4"/>
  <c r="G213" i="4" s="1"/>
  <c r="I384" i="5"/>
  <c r="H206" i="4"/>
  <c r="H204" i="4" s="1"/>
  <c r="H384" i="5"/>
  <c r="G206" i="4"/>
  <c r="G204" i="4" s="1"/>
  <c r="G384" i="5"/>
  <c r="F206" i="4"/>
  <c r="F204" i="4" s="1"/>
  <c r="F199" i="4"/>
  <c r="F384" i="5"/>
  <c r="E206" i="4"/>
  <c r="E204" i="4" s="1"/>
  <c r="E201" i="4"/>
  <c r="E199" i="4" s="1"/>
  <c r="H103" i="4"/>
  <c r="H199" i="4"/>
  <c r="G103" i="4"/>
  <c r="G199" i="4"/>
  <c r="F103" i="4"/>
  <c r="E85" i="4"/>
  <c r="E166" i="4"/>
  <c r="H370" i="5"/>
  <c r="G190" i="4"/>
  <c r="G189" i="4" s="1"/>
  <c r="F370" i="5"/>
  <c r="E190" i="4"/>
  <c r="E189" i="4" s="1"/>
  <c r="I370" i="5"/>
  <c r="H190" i="4"/>
  <c r="H189" i="4" s="1"/>
  <c r="H166" i="4"/>
  <c r="F166" i="4"/>
  <c r="G166" i="4"/>
  <c r="H53" i="5"/>
  <c r="G161" i="4"/>
  <c r="G53" i="5"/>
  <c r="F161" i="4"/>
  <c r="F53" i="5"/>
  <c r="E163" i="4"/>
  <c r="E161" i="4" s="1"/>
  <c r="G160" i="4"/>
  <c r="I53" i="5"/>
  <c r="H161" i="4"/>
  <c r="F160" i="4"/>
  <c r="H160" i="4"/>
  <c r="E129" i="4"/>
  <c r="F129" i="4"/>
  <c r="H42" i="5"/>
  <c r="G42" i="5"/>
  <c r="H129" i="4"/>
  <c r="F42" i="5"/>
  <c r="E127" i="4"/>
  <c r="G129" i="4"/>
  <c r="I42" i="5"/>
  <c r="F303" i="5"/>
  <c r="E121" i="4"/>
  <c r="E120" i="4" s="1"/>
  <c r="H303" i="5"/>
  <c r="G121" i="4"/>
  <c r="G120" i="4" s="1"/>
  <c r="G303" i="5"/>
  <c r="F121" i="4"/>
  <c r="F120" i="4" s="1"/>
  <c r="I303" i="5"/>
  <c r="H121" i="4"/>
  <c r="H120" i="4" s="1"/>
  <c r="G114" i="5"/>
  <c r="G113" i="5" s="1"/>
  <c r="I114" i="5"/>
  <c r="I113" i="5" s="1"/>
  <c r="H114" i="5"/>
  <c r="H113" i="5" s="1"/>
  <c r="E72" i="4"/>
  <c r="F114" i="5"/>
  <c r="F113" i="5" s="1"/>
  <c r="G193" i="4"/>
  <c r="G191" i="4" s="1"/>
  <c r="H372" i="5"/>
  <c r="H191" i="4"/>
  <c r="E193" i="4"/>
  <c r="I372" i="5"/>
  <c r="F191" i="4"/>
  <c r="G372" i="5"/>
  <c r="G267" i="5"/>
  <c r="G338" i="5"/>
  <c r="G345" i="5"/>
  <c r="G320" i="5"/>
  <c r="G309" i="5"/>
  <c r="G298" i="5"/>
  <c r="G293" i="5"/>
  <c r="G287" i="5"/>
  <c r="I345" i="5"/>
  <c r="H345" i="5"/>
  <c r="F139" i="4"/>
  <c r="F138" i="4" s="1"/>
  <c r="F592" i="5"/>
  <c r="F591" i="5" s="1"/>
  <c r="E100" i="4"/>
  <c r="E98" i="4"/>
  <c r="E111" i="4"/>
  <c r="E108" i="4"/>
  <c r="E105" i="4"/>
  <c r="F497" i="5"/>
  <c r="F252" i="4"/>
  <c r="G252" i="4"/>
  <c r="H252" i="4"/>
  <c r="I225" i="5"/>
  <c r="I222" i="5" s="1"/>
  <c r="I218" i="5" s="1"/>
  <c r="I188" i="5"/>
  <c r="I267" i="5"/>
  <c r="H267" i="5"/>
  <c r="G235" i="4"/>
  <c r="F235" i="4"/>
  <c r="E235" i="4"/>
  <c r="H235" i="4"/>
  <c r="H132" i="4"/>
  <c r="H100" i="4"/>
  <c r="H98" i="4"/>
  <c r="F171" i="4"/>
  <c r="F170" i="4" s="1"/>
  <c r="H186" i="4"/>
  <c r="H113" i="4"/>
  <c r="H111" i="4"/>
  <c r="H108" i="4"/>
  <c r="H105" i="4"/>
  <c r="E247" i="4"/>
  <c r="H198" i="4"/>
  <c r="H197" i="4" s="1"/>
  <c r="H174" i="4"/>
  <c r="G137" i="4"/>
  <c r="G135" i="4" s="1"/>
  <c r="F80" i="4"/>
  <c r="F79" i="4" s="1"/>
  <c r="G255" i="4"/>
  <c r="F186" i="4"/>
  <c r="E184" i="4"/>
  <c r="F132" i="4"/>
  <c r="F116" i="4"/>
  <c r="F115" i="4" s="1"/>
  <c r="F113" i="4"/>
  <c r="F111" i="4"/>
  <c r="F108" i="4"/>
  <c r="F105" i="4"/>
  <c r="G108" i="4"/>
  <c r="G105" i="4"/>
  <c r="F469" i="5"/>
  <c r="F468" i="5" s="1"/>
  <c r="E157" i="4"/>
  <c r="E93" i="4"/>
  <c r="E91" i="4" s="1"/>
  <c r="E113" i="4"/>
  <c r="E248" i="4"/>
  <c r="E132" i="4"/>
  <c r="E155" i="4"/>
  <c r="E151" i="4" s="1"/>
  <c r="E116" i="4"/>
  <c r="E115" i="4" s="1"/>
  <c r="F174" i="4"/>
  <c r="H182" i="4"/>
  <c r="H181" i="4" s="1"/>
  <c r="F184" i="4"/>
  <c r="F100" i="4"/>
  <c r="F98" i="4"/>
  <c r="F91" i="4"/>
  <c r="E253" i="4"/>
  <c r="E252" i="4" s="1"/>
  <c r="E150" i="4"/>
  <c r="E147" i="4" s="1"/>
  <c r="G124" i="4"/>
  <c r="G123" i="4" s="1"/>
  <c r="H409" i="5"/>
  <c r="H406" i="5" s="1"/>
  <c r="H403" i="5" s="1"/>
  <c r="G230" i="4"/>
  <c r="G227" i="4" s="1"/>
  <c r="G224" i="4" s="1"/>
  <c r="H377" i="5"/>
  <c r="G198" i="4"/>
  <c r="G197" i="4" s="1"/>
  <c r="G368" i="5"/>
  <c r="F277" i="5"/>
  <c r="E95" i="4"/>
  <c r="E94" i="4" s="1"/>
  <c r="I263" i="5"/>
  <c r="I260" i="5" s="1"/>
  <c r="H80" i="4"/>
  <c r="H79" i="4" s="1"/>
  <c r="E221" i="4"/>
  <c r="E220" i="4" s="1"/>
  <c r="E219" i="4" s="1"/>
  <c r="G184" i="4"/>
  <c r="G98" i="4"/>
  <c r="E174" i="4"/>
  <c r="G186" i="4"/>
  <c r="F362" i="5"/>
  <c r="E182" i="4"/>
  <c r="E181" i="4" s="1"/>
  <c r="F351" i="5"/>
  <c r="F350" i="5" s="1"/>
  <c r="E171" i="4"/>
  <c r="E169" i="4" s="1"/>
  <c r="G155" i="4"/>
  <c r="G151" i="4" s="1"/>
  <c r="G150" i="4"/>
  <c r="G147" i="4" s="1"/>
  <c r="G318" i="5"/>
  <c r="F137" i="4"/>
  <c r="F135" i="4" s="1"/>
  <c r="G306" i="5"/>
  <c r="F124" i="4"/>
  <c r="F123" i="4" s="1"/>
  <c r="G174" i="4"/>
  <c r="G131" i="4"/>
  <c r="G221" i="4"/>
  <c r="G220" i="4" s="1"/>
  <c r="G219" i="4" s="1"/>
  <c r="G370" i="5"/>
  <c r="F189" i="4"/>
  <c r="F272" i="5"/>
  <c r="E89" i="4"/>
  <c r="E88" i="4" s="1"/>
  <c r="H250" i="5"/>
  <c r="G438" i="5"/>
  <c r="G437" i="5" s="1"/>
  <c r="F263" i="4"/>
  <c r="F262" i="4" s="1"/>
  <c r="G435" i="5"/>
  <c r="F260" i="4"/>
  <c r="H91" i="4"/>
  <c r="G270" i="4"/>
  <c r="G269" i="4" s="1"/>
  <c r="G268" i="4" s="1"/>
  <c r="F255" i="4"/>
  <c r="F221" i="4"/>
  <c r="F220" i="4" s="1"/>
  <c r="F219" i="4" s="1"/>
  <c r="H184" i="4"/>
  <c r="E256" i="4"/>
  <c r="E255" i="4" s="1"/>
  <c r="G182" i="4"/>
  <c r="G181" i="4" s="1"/>
  <c r="H155" i="4"/>
  <c r="H151" i="4" s="1"/>
  <c r="H150" i="4"/>
  <c r="H147" i="4" s="1"/>
  <c r="H95" i="4"/>
  <c r="H94" i="4" s="1"/>
  <c r="E80" i="4"/>
  <c r="E79" i="4" s="1"/>
  <c r="E65" i="4"/>
  <c r="E64" i="4" s="1"/>
  <c r="H131" i="4"/>
  <c r="H116" i="4"/>
  <c r="H115" i="4" s="1"/>
  <c r="G100" i="4"/>
  <c r="E271" i="4"/>
  <c r="E270" i="4" s="1"/>
  <c r="E269" i="4" s="1"/>
  <c r="E268" i="4" s="1"/>
  <c r="E261" i="4"/>
  <c r="E260" i="4" s="1"/>
  <c r="F198" i="4"/>
  <c r="F197" i="4" s="1"/>
  <c r="F182" i="4"/>
  <c r="F181" i="4" s="1"/>
  <c r="H171" i="4"/>
  <c r="E137" i="4"/>
  <c r="E135" i="4" s="1"/>
  <c r="E124" i="4"/>
  <c r="E123" i="4" s="1"/>
  <c r="G95" i="4"/>
  <c r="G94" i="4" s="1"/>
  <c r="E78" i="4"/>
  <c r="E77" i="4" s="1"/>
  <c r="H255" i="4"/>
  <c r="H221" i="4"/>
  <c r="H220" i="4" s="1"/>
  <c r="H219" i="4" s="1"/>
  <c r="G132" i="4"/>
  <c r="G116" i="4"/>
  <c r="G115" i="4" s="1"/>
  <c r="G113" i="4"/>
  <c r="G111" i="4"/>
  <c r="E259" i="4"/>
  <c r="E258" i="4" s="1"/>
  <c r="E198" i="4"/>
  <c r="E197" i="4" s="1"/>
  <c r="E188" i="4"/>
  <c r="E187" i="4" s="1"/>
  <c r="G171" i="4"/>
  <c r="F155" i="4"/>
  <c r="F151" i="4" s="1"/>
  <c r="F150" i="4"/>
  <c r="F147" i="4" s="1"/>
  <c r="H137" i="4"/>
  <c r="H135" i="4" s="1"/>
  <c r="H124" i="4"/>
  <c r="H123" i="4" s="1"/>
  <c r="F95" i="4"/>
  <c r="F94" i="4" s="1"/>
  <c r="G80" i="4"/>
  <c r="G79" i="4" s="1"/>
  <c r="H138" i="4"/>
  <c r="G138" i="4"/>
  <c r="G258" i="4"/>
  <c r="I55" i="1"/>
  <c r="I66" i="1" s="1"/>
  <c r="I67" i="1" s="1"/>
  <c r="H208" i="4"/>
  <c r="G208" i="4"/>
  <c r="F208" i="4"/>
  <c r="F77" i="4"/>
  <c r="H65" i="4"/>
  <c r="H64" i="4" s="1"/>
  <c r="G65" i="4"/>
  <c r="G64" i="4" s="1"/>
  <c r="F65" i="4"/>
  <c r="F64" i="4" s="1"/>
  <c r="F68" i="1"/>
  <c r="H55" i="1"/>
  <c r="H66" i="1" s="1"/>
  <c r="H67" i="1" s="1"/>
  <c r="G55" i="1"/>
  <c r="G66" i="1" s="1"/>
  <c r="G67" i="1" s="1"/>
  <c r="F55" i="1"/>
  <c r="F354" i="5"/>
  <c r="F353" i="5" s="1"/>
  <c r="G625" i="6"/>
  <c r="F625" i="6"/>
  <c r="G430" i="5"/>
  <c r="G422" i="5"/>
  <c r="H460" i="5"/>
  <c r="H459" i="5" s="1"/>
  <c r="G364" i="5"/>
  <c r="G280" i="5"/>
  <c r="F610" i="6"/>
  <c r="F274" i="5"/>
  <c r="F309" i="5"/>
  <c r="F298" i="5"/>
  <c r="H469" i="5"/>
  <c r="H468" i="5" s="1"/>
  <c r="F619" i="6"/>
  <c r="H379" i="5"/>
  <c r="F552" i="5"/>
  <c r="F551" i="5" s="1"/>
  <c r="I422" i="5"/>
  <c r="G354" i="5"/>
  <c r="G353" i="5" s="1"/>
  <c r="F287" i="5"/>
  <c r="H181" i="5"/>
  <c r="H180" i="5" s="1"/>
  <c r="H144" i="5"/>
  <c r="H141" i="5"/>
  <c r="H55" i="5"/>
  <c r="G460" i="5"/>
  <c r="G459" i="5" s="1"/>
  <c r="G469" i="5"/>
  <c r="G468" i="5" s="1"/>
  <c r="G552" i="5"/>
  <c r="G551" i="5" s="1"/>
  <c r="F427" i="5"/>
  <c r="G400" i="5"/>
  <c r="G399" i="5" s="1"/>
  <c r="G398" i="5" s="1"/>
  <c r="I309" i="5"/>
  <c r="E610" i="6"/>
  <c r="F460" i="5"/>
  <c r="F459" i="5" s="1"/>
  <c r="H427" i="5"/>
  <c r="F379" i="5"/>
  <c r="I364" i="5"/>
  <c r="H298" i="5"/>
  <c r="I293" i="5"/>
  <c r="H79" i="5"/>
  <c r="H78" i="5" s="1"/>
  <c r="G619" i="6"/>
  <c r="E625" i="6"/>
  <c r="I552" i="5"/>
  <c r="I551" i="5" s="1"/>
  <c r="F452" i="5"/>
  <c r="F430" i="5"/>
  <c r="G427" i="5"/>
  <c r="H422" i="5"/>
  <c r="F400" i="5"/>
  <c r="F399" i="5" s="1"/>
  <c r="F398" i="5" s="1"/>
  <c r="I387" i="5"/>
  <c r="G379" i="5"/>
  <c r="H364" i="5"/>
  <c r="I320" i="5"/>
  <c r="H309" i="5"/>
  <c r="H293" i="5"/>
  <c r="I287" i="5"/>
  <c r="H274" i="5"/>
  <c r="G244" i="5"/>
  <c r="G243" i="5" s="1"/>
  <c r="G181" i="5"/>
  <c r="G180" i="5" s="1"/>
  <c r="G144" i="5"/>
  <c r="G141" i="5"/>
  <c r="G59" i="5"/>
  <c r="G58" i="5" s="1"/>
  <c r="G55" i="5"/>
  <c r="G27" i="5"/>
  <c r="I274" i="5"/>
  <c r="H244" i="5"/>
  <c r="H27" i="5"/>
  <c r="H552" i="5"/>
  <c r="H551" i="5" s="1"/>
  <c r="I430" i="5"/>
  <c r="I400" i="5"/>
  <c r="I399" i="5" s="1"/>
  <c r="I398" i="5" s="1"/>
  <c r="H387" i="5"/>
  <c r="I354" i="5"/>
  <c r="I353" i="5" s="1"/>
  <c r="I338" i="5"/>
  <c r="H320" i="5"/>
  <c r="H287" i="5"/>
  <c r="I280" i="5"/>
  <c r="G274" i="5"/>
  <c r="F244" i="5"/>
  <c r="F243" i="5" s="1"/>
  <c r="F181" i="5"/>
  <c r="F180" i="5" s="1"/>
  <c r="F144" i="5"/>
  <c r="F141" i="5"/>
  <c r="F79" i="5"/>
  <c r="F78" i="5" s="1"/>
  <c r="F74" i="5" s="1"/>
  <c r="F69" i="5" s="1"/>
  <c r="F59" i="5"/>
  <c r="F58" i="5" s="1"/>
  <c r="F55" i="5"/>
  <c r="F27" i="5"/>
  <c r="I460" i="5"/>
  <c r="I459" i="5" s="1"/>
  <c r="H59" i="5"/>
  <c r="H58" i="5" s="1"/>
  <c r="E619" i="6"/>
  <c r="H430" i="5"/>
  <c r="I427" i="5"/>
  <c r="F422" i="5"/>
  <c r="H400" i="5"/>
  <c r="H399" i="5" s="1"/>
  <c r="H398" i="5" s="1"/>
  <c r="G387" i="5"/>
  <c r="I379" i="5"/>
  <c r="H354" i="5"/>
  <c r="H353" i="5" s="1"/>
  <c r="H338" i="5"/>
  <c r="I298" i="5"/>
  <c r="F293" i="5"/>
  <c r="H280" i="5"/>
  <c r="I244" i="5"/>
  <c r="I243" i="5" s="1"/>
  <c r="I181" i="5"/>
  <c r="I180" i="5" s="1"/>
  <c r="I144" i="5"/>
  <c r="I141" i="5"/>
  <c r="I79" i="5"/>
  <c r="I78" i="5" s="1"/>
  <c r="I59" i="5"/>
  <c r="I58" i="5" s="1"/>
  <c r="I55" i="5"/>
  <c r="I27" i="5"/>
  <c r="I469" i="5"/>
  <c r="I468" i="5" s="1"/>
  <c r="G566" i="5"/>
  <c r="F442" i="5"/>
  <c r="I566" i="5"/>
  <c r="H225" i="5"/>
  <c r="H222" i="5" s="1"/>
  <c r="H218" i="5" s="1"/>
  <c r="H188" i="5"/>
  <c r="F493" i="5"/>
  <c r="G260" i="5"/>
  <c r="G225" i="5"/>
  <c r="G222" i="5" s="1"/>
  <c r="G218" i="5" s="1"/>
  <c r="G62" i="5"/>
  <c r="H592" i="5"/>
  <c r="H591" i="5" s="1"/>
  <c r="F260" i="5"/>
  <c r="F225" i="5"/>
  <c r="F222" i="5" s="1"/>
  <c r="F218" i="5" s="1"/>
  <c r="F188" i="5"/>
  <c r="G591" i="5"/>
  <c r="F566" i="5"/>
  <c r="I62" i="5"/>
  <c r="I12" i="5"/>
  <c r="H260" i="5"/>
  <c r="H62" i="5"/>
  <c r="G600" i="5"/>
  <c r="G601" i="5" s="1"/>
  <c r="H566" i="5"/>
  <c r="F62" i="5"/>
  <c r="H12" i="5"/>
  <c r="I591" i="5"/>
  <c r="I600" i="5"/>
  <c r="I601" i="5" s="1"/>
  <c r="G12" i="5"/>
  <c r="F125" i="5"/>
  <c r="F12" i="5"/>
  <c r="G610" i="6"/>
  <c r="E479" i="5"/>
  <c r="E14" i="9" l="1"/>
  <c r="H8" i="1"/>
  <c r="I8" i="1"/>
  <c r="G8" i="1"/>
  <c r="G125" i="5"/>
  <c r="I125" i="5"/>
  <c r="G96" i="1"/>
  <c r="D19" i="9"/>
  <c r="D18" i="9" s="1"/>
  <c r="D14" i="9" s="1"/>
  <c r="I15" i="1"/>
  <c r="F6" i="9" s="1"/>
  <c r="H15" i="1"/>
  <c r="E6" i="9" s="1"/>
  <c r="G15" i="1"/>
  <c r="F66" i="1"/>
  <c r="E8" i="9"/>
  <c r="E7" i="9" s="1"/>
  <c r="H44" i="1"/>
  <c r="D8" i="9"/>
  <c r="G44" i="1"/>
  <c r="F8" i="9"/>
  <c r="F7" i="9" s="1"/>
  <c r="I44" i="1"/>
  <c r="D6" i="9"/>
  <c r="G16" i="1"/>
  <c r="C9" i="9"/>
  <c r="G84" i="1"/>
  <c r="G97" i="1" s="1"/>
  <c r="H84" i="1"/>
  <c r="H97" i="1" s="1"/>
  <c r="I84" i="1"/>
  <c r="I97" i="1" s="1"/>
  <c r="F84" i="1"/>
  <c r="C15" i="9" s="1"/>
  <c r="G121" i="1"/>
  <c r="I121" i="1"/>
  <c r="H121" i="1"/>
  <c r="C637" i="6"/>
  <c r="C636" i="6" s="1"/>
  <c r="C635" i="6" s="1"/>
  <c r="G458" i="5"/>
  <c r="G450" i="5" s="1"/>
  <c r="H458" i="5"/>
  <c r="H450" i="5" s="1"/>
  <c r="I458" i="5"/>
  <c r="I450" i="5" s="1"/>
  <c r="G74" i="5"/>
  <c r="G69" i="5" s="1"/>
  <c r="F458" i="5"/>
  <c r="F8" i="1"/>
  <c r="F122" i="1" s="1"/>
  <c r="G41" i="5"/>
  <c r="H74" i="5"/>
  <c r="I74" i="5"/>
  <c r="H550" i="5"/>
  <c r="H549" i="5" s="1"/>
  <c r="H577" i="5" s="1"/>
  <c r="H578" i="5" s="1"/>
  <c r="G550" i="5"/>
  <c r="G549" i="5" s="1"/>
  <c r="I550" i="5"/>
  <c r="I549" i="5" s="1"/>
  <c r="I577" i="5" s="1"/>
  <c r="I578" i="5" s="1"/>
  <c r="F203" i="4"/>
  <c r="F202" i="4" s="1"/>
  <c r="G383" i="5"/>
  <c r="G382" i="5" s="1"/>
  <c r="I383" i="5"/>
  <c r="I382" i="5" s="1"/>
  <c r="G183" i="4"/>
  <c r="G180" i="4" s="1"/>
  <c r="H164" i="4"/>
  <c r="G246" i="4"/>
  <c r="G245" i="4" s="1"/>
  <c r="E104" i="4"/>
  <c r="F164" i="4"/>
  <c r="G164" i="4"/>
  <c r="F492" i="5"/>
  <c r="F512" i="5" s="1"/>
  <c r="F600" i="5"/>
  <c r="H83" i="4"/>
  <c r="H82" i="4" s="1"/>
  <c r="G83" i="4"/>
  <c r="G82" i="4" s="1"/>
  <c r="F83" i="4"/>
  <c r="F82" i="4" s="1"/>
  <c r="H246" i="4"/>
  <c r="H245" i="4" s="1"/>
  <c r="F246" i="4"/>
  <c r="F245" i="4" s="1"/>
  <c r="F241" i="4" s="1"/>
  <c r="F67" i="4"/>
  <c r="F66" i="4" s="1"/>
  <c r="F126" i="4"/>
  <c r="E170" i="4"/>
  <c r="F173" i="4"/>
  <c r="F172" i="4" s="1"/>
  <c r="G104" i="4"/>
  <c r="H173" i="4"/>
  <c r="H172" i="4" s="1"/>
  <c r="F169" i="4"/>
  <c r="F104" i="4"/>
  <c r="H110" i="4"/>
  <c r="H97" i="4"/>
  <c r="G26" i="5"/>
  <c r="G173" i="4"/>
  <c r="G172" i="4" s="1"/>
  <c r="F183" i="4"/>
  <c r="F180" i="4" s="1"/>
  <c r="H75" i="4"/>
  <c r="F156" i="4"/>
  <c r="H67" i="4"/>
  <c r="H66" i="4" s="1"/>
  <c r="G67" i="4"/>
  <c r="G66" i="4" s="1"/>
  <c r="G126" i="4"/>
  <c r="H104" i="4"/>
  <c r="G75" i="4"/>
  <c r="H156" i="4"/>
  <c r="E246" i="4"/>
  <c r="E245" i="4" s="1"/>
  <c r="E110" i="4"/>
  <c r="H183" i="4"/>
  <c r="H180" i="4" s="1"/>
  <c r="F97" i="4"/>
  <c r="F110" i="4"/>
  <c r="F75" i="4"/>
  <c r="H383" i="5"/>
  <c r="H382" i="5" s="1"/>
  <c r="E75" i="4"/>
  <c r="E126" i="4"/>
  <c r="G110" i="4"/>
  <c r="G97" i="4"/>
  <c r="G156" i="4"/>
  <c r="H126" i="4"/>
  <c r="H203" i="4"/>
  <c r="H202" i="4" s="1"/>
  <c r="F451" i="5"/>
  <c r="H170" i="4"/>
  <c r="H169" i="4"/>
  <c r="H243" i="5"/>
  <c r="H242" i="5" s="1"/>
  <c r="G203" i="4"/>
  <c r="G202" i="4" s="1"/>
  <c r="G170" i="4"/>
  <c r="G169" i="4"/>
  <c r="E173" i="4"/>
  <c r="E172" i="4" s="1"/>
  <c r="I421" i="5"/>
  <c r="I420" i="5" s="1"/>
  <c r="I414" i="5" s="1"/>
  <c r="I41" i="5"/>
  <c r="I138" i="5"/>
  <c r="G361" i="5"/>
  <c r="I279" i="5"/>
  <c r="H266" i="5"/>
  <c r="F609" i="6"/>
  <c r="H279" i="5"/>
  <c r="H41" i="5"/>
  <c r="G279" i="5"/>
  <c r="E609" i="6"/>
  <c r="F138" i="5"/>
  <c r="H138" i="5"/>
  <c r="G421" i="5"/>
  <c r="G420" i="5" s="1"/>
  <c r="G414" i="5" s="1"/>
  <c r="G266" i="5"/>
  <c r="I361" i="5"/>
  <c r="H421" i="5"/>
  <c r="H420" i="5" s="1"/>
  <c r="H414" i="5" s="1"/>
  <c r="H361" i="5"/>
  <c r="F41" i="5"/>
  <c r="I266" i="5"/>
  <c r="G242" i="5"/>
  <c r="F421" i="5"/>
  <c r="F420" i="5" s="1"/>
  <c r="F414" i="5" s="1"/>
  <c r="F26" i="5"/>
  <c r="H26" i="5"/>
  <c r="G138" i="5"/>
  <c r="I26" i="5"/>
  <c r="I242" i="5"/>
  <c r="G609" i="6"/>
  <c r="H600" i="5"/>
  <c r="H601" i="5" s="1"/>
  <c r="E476" i="5"/>
  <c r="E484" i="5"/>
  <c r="C633" i="6"/>
  <c r="C632" i="6" s="1"/>
  <c r="C630" i="6"/>
  <c r="C628" i="6"/>
  <c r="C611" i="6"/>
  <c r="C600" i="6"/>
  <c r="C599" i="6" s="1"/>
  <c r="D626" i="6"/>
  <c r="D633" i="6"/>
  <c r="D632" i="6" s="1"/>
  <c r="C626" i="6"/>
  <c r="D620" i="6"/>
  <c r="C620" i="6"/>
  <c r="D611" i="6"/>
  <c r="E50" i="5"/>
  <c r="E61" i="5"/>
  <c r="E60" i="5"/>
  <c r="E43" i="5"/>
  <c r="E18" i="5"/>
  <c r="E183" i="5"/>
  <c r="E182" i="5"/>
  <c r="D292" i="6"/>
  <c r="E292" i="6"/>
  <c r="E291" i="6" s="1"/>
  <c r="F292" i="6"/>
  <c r="F291" i="6" s="1"/>
  <c r="G292" i="6"/>
  <c r="G291" i="6" s="1"/>
  <c r="C292" i="6"/>
  <c r="E356" i="5"/>
  <c r="E355" i="5"/>
  <c r="D121" i="6"/>
  <c r="D120" i="6" s="1"/>
  <c r="E121" i="6"/>
  <c r="E120" i="6" s="1"/>
  <c r="F121" i="6"/>
  <c r="F120" i="6" s="1"/>
  <c r="G121" i="6"/>
  <c r="G120" i="6" s="1"/>
  <c r="C121" i="6"/>
  <c r="C120" i="6" s="1"/>
  <c r="H16" i="1" l="1"/>
  <c r="I16" i="1"/>
  <c r="H122" i="1"/>
  <c r="I122" i="1"/>
  <c r="G122" i="1"/>
  <c r="G577" i="5"/>
  <c r="G578" i="5" s="1"/>
  <c r="D291" i="6"/>
  <c r="F520" i="5"/>
  <c r="F519" i="5" s="1"/>
  <c r="F518" i="5" s="1"/>
  <c r="C291" i="6"/>
  <c r="E520" i="5"/>
  <c r="E519" i="5" s="1"/>
  <c r="E518" i="5" s="1"/>
  <c r="G19" i="5"/>
  <c r="G11" i="5" s="1"/>
  <c r="G102" i="5" s="1"/>
  <c r="G103" i="5" s="1"/>
  <c r="F19" i="5"/>
  <c r="F11" i="5" s="1"/>
  <c r="F102" i="5" s="1"/>
  <c r="D175" i="4"/>
  <c r="I491" i="5"/>
  <c r="G491" i="5"/>
  <c r="F450" i="5"/>
  <c r="F491" i="5" s="1"/>
  <c r="H491" i="5"/>
  <c r="H19" i="5"/>
  <c r="H11" i="5" s="1"/>
  <c r="I19" i="5"/>
  <c r="I11" i="5" s="1"/>
  <c r="E241" i="4"/>
  <c r="E234" i="4" s="1"/>
  <c r="F234" i="4"/>
  <c r="H241" i="4"/>
  <c r="H234" i="4" s="1"/>
  <c r="I69" i="5"/>
  <c r="G241" i="4"/>
  <c r="G234" i="4" s="1"/>
  <c r="H69" i="5"/>
  <c r="F9" i="5"/>
  <c r="D174" i="4"/>
  <c r="F96" i="4"/>
  <c r="H96" i="4"/>
  <c r="G96" i="4"/>
  <c r="C625" i="6"/>
  <c r="E469" i="5"/>
  <c r="E42" i="5"/>
  <c r="E59" i="5"/>
  <c r="E58" i="5" s="1"/>
  <c r="E181" i="5"/>
  <c r="E180" i="5" s="1"/>
  <c r="E354" i="5"/>
  <c r="E353" i="5" s="1"/>
  <c r="H102" i="5" l="1"/>
  <c r="H103" i="5" s="1"/>
  <c r="I102" i="5"/>
  <c r="I103" i="5" s="1"/>
  <c r="D173" i="4"/>
  <c r="D172" i="4" s="1"/>
  <c r="F25" i="2" l="1"/>
  <c r="F24" i="2" s="1"/>
  <c r="G25" i="2"/>
  <c r="G24" i="2" s="1"/>
  <c r="H25" i="2"/>
  <c r="H24" i="2" s="1"/>
  <c r="I25" i="2"/>
  <c r="I24" i="2" s="1"/>
  <c r="E25" i="2"/>
  <c r="E24" i="2" s="1"/>
  <c r="E79" i="1"/>
  <c r="F12" i="2"/>
  <c r="G12" i="2"/>
  <c r="H12" i="2"/>
  <c r="I12" i="2"/>
  <c r="F16" i="2"/>
  <c r="F15" i="2" s="1"/>
  <c r="F14" i="2" s="1"/>
  <c r="G16" i="2"/>
  <c r="G15" i="2" s="1"/>
  <c r="G14" i="2" s="1"/>
  <c r="H16" i="2"/>
  <c r="H15" i="2" s="1"/>
  <c r="H14" i="2" s="1"/>
  <c r="I16" i="2"/>
  <c r="I15" i="2" s="1"/>
  <c r="I14" i="2" s="1"/>
  <c r="E15" i="2"/>
  <c r="E14" i="2" s="1"/>
  <c r="E70" i="1"/>
  <c r="F58" i="2"/>
  <c r="G58" i="2"/>
  <c r="H58" i="2"/>
  <c r="I58" i="2"/>
  <c r="E58" i="2"/>
  <c r="F39" i="2"/>
  <c r="F38" i="2" s="1"/>
  <c r="G39" i="2"/>
  <c r="G38" i="2" s="1"/>
  <c r="H39" i="2"/>
  <c r="H38" i="2" s="1"/>
  <c r="I39" i="2"/>
  <c r="I38" i="2" s="1"/>
  <c r="E39" i="2"/>
  <c r="E38" i="2" s="1"/>
  <c r="E21" i="1"/>
  <c r="E68" i="5"/>
  <c r="E67" i="5" s="1"/>
  <c r="E66" i="5"/>
  <c r="E65" i="5" s="1"/>
  <c r="E64" i="5"/>
  <c r="E63" i="5" s="1"/>
  <c r="E57" i="5"/>
  <c r="E56" i="5"/>
  <c r="E52" i="5"/>
  <c r="E51" i="5" s="1"/>
  <c r="E49" i="5"/>
  <c r="E35" i="5"/>
  <c r="E34" i="5"/>
  <c r="E31" i="5"/>
  <c r="E30" i="5" s="1"/>
  <c r="E29" i="5"/>
  <c r="E28" i="5"/>
  <c r="E490" i="5"/>
  <c r="E489" i="5" s="1"/>
  <c r="E487" i="5" s="1"/>
  <c r="D729" i="6"/>
  <c r="D726" i="6" s="1"/>
  <c r="D725" i="6" s="1"/>
  <c r="D724" i="6" s="1"/>
  <c r="E729" i="6"/>
  <c r="E726" i="6" s="1"/>
  <c r="E725" i="6" s="1"/>
  <c r="E724" i="6" s="1"/>
  <c r="F729" i="6"/>
  <c r="F726" i="6" s="1"/>
  <c r="F725" i="6" s="1"/>
  <c r="F724" i="6" s="1"/>
  <c r="G729" i="6"/>
  <c r="G726" i="6" s="1"/>
  <c r="G725" i="6" s="1"/>
  <c r="G724" i="6" s="1"/>
  <c r="D720" i="6"/>
  <c r="D719" i="6" s="1"/>
  <c r="E720" i="6"/>
  <c r="E719" i="6" s="1"/>
  <c r="F720" i="6"/>
  <c r="F719" i="6" s="1"/>
  <c r="G720" i="6"/>
  <c r="G719" i="6" s="1"/>
  <c r="C729" i="6"/>
  <c r="C726" i="6" s="1"/>
  <c r="C725" i="6" s="1"/>
  <c r="C724" i="6" s="1"/>
  <c r="C722" i="6"/>
  <c r="C721" i="6" l="1"/>
  <c r="C720" i="6" s="1"/>
  <c r="C719" i="6" s="1"/>
  <c r="E530" i="5"/>
  <c r="E33" i="5"/>
  <c r="C718" i="6"/>
  <c r="C717" i="6" s="1"/>
  <c r="E55" i="5"/>
  <c r="E62" i="5"/>
  <c r="E27" i="5"/>
  <c r="G718" i="6"/>
  <c r="G717" i="6" s="1"/>
  <c r="F718" i="6"/>
  <c r="F717" i="6" s="1"/>
  <c r="E718" i="6"/>
  <c r="E717" i="6" s="1"/>
  <c r="D718" i="6"/>
  <c r="D717" i="6" s="1"/>
  <c r="E26" i="5" l="1"/>
  <c r="D458" i="6"/>
  <c r="E458" i="6"/>
  <c r="E456" i="6" s="1"/>
  <c r="F458" i="6"/>
  <c r="F456" i="6" s="1"/>
  <c r="G458" i="6"/>
  <c r="G456" i="6" s="1"/>
  <c r="C458" i="6"/>
  <c r="C456" i="6" s="1"/>
  <c r="E590" i="5"/>
  <c r="E589" i="5" s="1"/>
  <c r="D414" i="6"/>
  <c r="E414" i="6"/>
  <c r="F414" i="6"/>
  <c r="G414" i="6"/>
  <c r="D422" i="6"/>
  <c r="D421" i="6" s="1"/>
  <c r="E422" i="6"/>
  <c r="E421" i="6" s="1"/>
  <c r="F422" i="6"/>
  <c r="F421" i="6" s="1"/>
  <c r="G422" i="6"/>
  <c r="G421" i="6" s="1"/>
  <c r="C422" i="6"/>
  <c r="E483" i="5"/>
  <c r="E482" i="5" s="1"/>
  <c r="D371" i="6"/>
  <c r="E371" i="6"/>
  <c r="F371" i="6"/>
  <c r="G371" i="6"/>
  <c r="D368" i="6"/>
  <c r="D367" i="6" s="1"/>
  <c r="E368" i="6"/>
  <c r="E367" i="6" s="1"/>
  <c r="F368" i="6"/>
  <c r="F367" i="6" s="1"/>
  <c r="G368" i="6"/>
  <c r="G367" i="6" s="1"/>
  <c r="C371" i="6"/>
  <c r="C370" i="6" s="1"/>
  <c r="C368" i="6"/>
  <c r="C367" i="6" s="1"/>
  <c r="D160" i="6"/>
  <c r="E160" i="6"/>
  <c r="F160" i="6"/>
  <c r="G160" i="6"/>
  <c r="E393" i="5"/>
  <c r="C160" i="6"/>
  <c r="E341" i="5"/>
  <c r="D159" i="4" s="1"/>
  <c r="C105" i="6"/>
  <c r="E312" i="5"/>
  <c r="D129" i="4" s="1"/>
  <c r="C76" i="6"/>
  <c r="E264" i="5"/>
  <c r="E263" i="5" s="1"/>
  <c r="D30" i="6"/>
  <c r="E30" i="6"/>
  <c r="F30" i="6"/>
  <c r="G30" i="6"/>
  <c r="C30" i="6"/>
  <c r="D284" i="4"/>
  <c r="D282" i="4" s="1"/>
  <c r="D281" i="4" s="1"/>
  <c r="D280" i="4" s="1"/>
  <c r="D216" i="4"/>
  <c r="D215" i="4" s="1"/>
  <c r="D225" i="4"/>
  <c r="D232" i="4"/>
  <c r="D236" i="4"/>
  <c r="D238" i="4"/>
  <c r="D242" i="4"/>
  <c r="D265" i="4"/>
  <c r="D272" i="4"/>
  <c r="E83" i="2"/>
  <c r="G83" i="2"/>
  <c r="H83" i="2"/>
  <c r="I83" i="2"/>
  <c r="E11" i="1"/>
  <c r="E19" i="1"/>
  <c r="E18" i="1" s="1"/>
  <c r="E17" i="1" s="1"/>
  <c r="E28" i="1"/>
  <c r="E38" i="1"/>
  <c r="E37" i="1" s="1"/>
  <c r="E45" i="1"/>
  <c r="E51" i="1"/>
  <c r="E50" i="1" s="1"/>
  <c r="E56" i="1"/>
  <c r="E60" i="1"/>
  <c r="E59" i="1" s="1"/>
  <c r="E64" i="1"/>
  <c r="E63" i="1" s="1"/>
  <c r="E62" i="1" s="1"/>
  <c r="E69" i="1"/>
  <c r="E74" i="1"/>
  <c r="E73" i="1" s="1"/>
  <c r="E77" i="1"/>
  <c r="E76" i="1" s="1"/>
  <c r="E92" i="1"/>
  <c r="E81" i="1"/>
  <c r="E99" i="1"/>
  <c r="E98" i="1" s="1"/>
  <c r="E105" i="1" s="1"/>
  <c r="B21" i="9" s="1"/>
  <c r="B20" i="9" s="1"/>
  <c r="C21" i="9"/>
  <c r="C20" i="9" s="1"/>
  <c r="E109" i="1"/>
  <c r="E108" i="1" s="1"/>
  <c r="E107" i="1" s="1"/>
  <c r="E111" i="1" s="1"/>
  <c r="C22" i="9"/>
  <c r="E114" i="1"/>
  <c r="E113" i="1" s="1"/>
  <c r="E118" i="1"/>
  <c r="E117" i="1" s="1"/>
  <c r="G87" i="2"/>
  <c r="G86" i="2" s="1"/>
  <c r="H87" i="2"/>
  <c r="H86" i="2" s="1"/>
  <c r="I87" i="2"/>
  <c r="I86" i="2" s="1"/>
  <c r="E91" i="1" l="1"/>
  <c r="E49" i="1"/>
  <c r="B12" i="9" s="1"/>
  <c r="E68" i="1"/>
  <c r="B10" i="9"/>
  <c r="D214" i="4"/>
  <c r="D213" i="4" s="1"/>
  <c r="G82" i="2"/>
  <c r="G81" i="2" s="1"/>
  <c r="C7" i="9"/>
  <c r="E43" i="1"/>
  <c r="H82" i="2"/>
  <c r="H81" i="2" s="1"/>
  <c r="C5" i="9"/>
  <c r="I82" i="2"/>
  <c r="I81" i="2" s="1"/>
  <c r="E87" i="2"/>
  <c r="E86" i="2" s="1"/>
  <c r="E82" i="2" s="1"/>
  <c r="E81" i="2" s="1"/>
  <c r="G12" i="3" s="1"/>
  <c r="E10" i="1"/>
  <c r="E9" i="1" s="1"/>
  <c r="E15" i="1" s="1"/>
  <c r="G413" i="6"/>
  <c r="G412" i="6" s="1"/>
  <c r="F413" i="6"/>
  <c r="F412" i="6" s="1"/>
  <c r="E413" i="6"/>
  <c r="E412" i="6" s="1"/>
  <c r="D413" i="6"/>
  <c r="D412" i="6" s="1"/>
  <c r="E392" i="5"/>
  <c r="D80" i="4"/>
  <c r="D79" i="4" s="1"/>
  <c r="D235" i="4"/>
  <c r="E112" i="1"/>
  <c r="E120" i="1" s="1"/>
  <c r="B23" i="9" s="1"/>
  <c r="E55" i="1"/>
  <c r="E66" i="1" s="1"/>
  <c r="B9" i="9" l="1"/>
  <c r="B8" i="9"/>
  <c r="B7" i="9" s="1"/>
  <c r="B6" i="9"/>
  <c r="B5" i="9" s="1"/>
  <c r="B22" i="9"/>
  <c r="E8" i="1"/>
  <c r="E84" i="1"/>
  <c r="B15" i="9" s="1"/>
  <c r="B14" i="9" s="1"/>
  <c r="C14" i="9"/>
  <c r="F87" i="2"/>
  <c r="F86" i="2" s="1"/>
  <c r="E12" i="2"/>
  <c r="E20" i="2"/>
  <c r="E19" i="2" s="1"/>
  <c r="E18" i="2" s="1"/>
  <c r="F20" i="2"/>
  <c r="F19" i="2" s="1"/>
  <c r="F18" i="2" s="1"/>
  <c r="E23" i="2"/>
  <c r="E22" i="2" s="1"/>
  <c r="E21" i="2" s="1"/>
  <c r="F23" i="2"/>
  <c r="F22" i="2" s="1"/>
  <c r="F21" i="2" s="1"/>
  <c r="E31" i="2"/>
  <c r="F31" i="2"/>
  <c r="E37" i="2"/>
  <c r="E36" i="2" s="1"/>
  <c r="E35" i="2" s="1"/>
  <c r="E34" i="2" s="1"/>
  <c r="F37" i="2"/>
  <c r="F36" i="2" s="1"/>
  <c r="F35" i="2" s="1"/>
  <c r="F34" i="2" s="1"/>
  <c r="E48" i="2"/>
  <c r="F48" i="2"/>
  <c r="E49" i="2"/>
  <c r="F49" i="2"/>
  <c r="E50" i="2"/>
  <c r="F50" i="2"/>
  <c r="E57" i="2"/>
  <c r="F57" i="2"/>
  <c r="F56" i="2" s="1"/>
  <c r="E63" i="2"/>
  <c r="F63" i="2"/>
  <c r="E69" i="2"/>
  <c r="E68" i="2" s="1"/>
  <c r="F69" i="2"/>
  <c r="F68" i="2" s="1"/>
  <c r="E71" i="2"/>
  <c r="E70" i="2" s="1"/>
  <c r="F71" i="2"/>
  <c r="F70" i="2" s="1"/>
  <c r="E74" i="2"/>
  <c r="E73" i="2" s="1"/>
  <c r="E72" i="2" s="1"/>
  <c r="F74" i="2"/>
  <c r="F73" i="2" s="1"/>
  <c r="F72" i="2" s="1"/>
  <c r="E76" i="2"/>
  <c r="E75" i="2" s="1"/>
  <c r="F76" i="2"/>
  <c r="F75" i="2" s="1"/>
  <c r="F83" i="2"/>
  <c r="E15" i="5"/>
  <c r="E14" i="5" s="1"/>
  <c r="E13" i="5" s="1"/>
  <c r="E17" i="5"/>
  <c r="E16" i="5" s="1"/>
  <c r="E112" i="5"/>
  <c r="E120" i="5"/>
  <c r="E123" i="5"/>
  <c r="E122" i="5" s="1"/>
  <c r="E121" i="5" s="1"/>
  <c r="E132" i="5"/>
  <c r="E131" i="5" s="1"/>
  <c r="E136" i="5"/>
  <c r="E134" i="5" s="1"/>
  <c r="E140" i="5"/>
  <c r="E139" i="5" s="1"/>
  <c r="E142" i="5"/>
  <c r="E145" i="5"/>
  <c r="E147" i="5"/>
  <c r="E152" i="5"/>
  <c r="E160" i="5"/>
  <c r="E161" i="5"/>
  <c r="E168" i="5"/>
  <c r="E167" i="5" s="1"/>
  <c r="E170" i="5"/>
  <c r="E169" i="5" s="1"/>
  <c r="E179" i="5"/>
  <c r="E176" i="5" s="1"/>
  <c r="E191" i="5"/>
  <c r="E190" i="5" s="1"/>
  <c r="E192" i="5"/>
  <c r="E200" i="5"/>
  <c r="E209" i="5"/>
  <c r="E208" i="5" s="1"/>
  <c r="E212" i="5"/>
  <c r="E214" i="5"/>
  <c r="E220" i="5"/>
  <c r="E219" i="5" s="1"/>
  <c r="E223" i="5"/>
  <c r="E226" i="5"/>
  <c r="E229" i="5"/>
  <c r="E233" i="5"/>
  <c r="E235" i="5"/>
  <c r="E237" i="5"/>
  <c r="E245" i="5"/>
  <c r="E246" i="5"/>
  <c r="D62" i="4" s="1"/>
  <c r="E249" i="5"/>
  <c r="E251" i="5"/>
  <c r="E254" i="5"/>
  <c r="D68" i="4" s="1"/>
  <c r="E255" i="5"/>
  <c r="D69" i="4" s="1"/>
  <c r="E256" i="5"/>
  <c r="D70" i="4" s="1"/>
  <c r="E257" i="5"/>
  <c r="D71" i="4" s="1"/>
  <c r="E258" i="5"/>
  <c r="D72" i="4" s="1"/>
  <c r="E262" i="5"/>
  <c r="E268" i="5"/>
  <c r="E269" i="5"/>
  <c r="D85" i="4" s="1"/>
  <c r="E273" i="5"/>
  <c r="E275" i="5"/>
  <c r="D92" i="4" s="1"/>
  <c r="E278" i="5"/>
  <c r="E281" i="5"/>
  <c r="E282" i="5"/>
  <c r="E283" i="5"/>
  <c r="D100" i="4" s="1"/>
  <c r="E284" i="5"/>
  <c r="D101" i="4" s="1"/>
  <c r="E288" i="5"/>
  <c r="E291" i="5"/>
  <c r="E294" i="5"/>
  <c r="D111" i="4" s="1"/>
  <c r="E295" i="5"/>
  <c r="D112" i="4" s="1"/>
  <c r="E296" i="5"/>
  <c r="E299" i="5"/>
  <c r="E300" i="5"/>
  <c r="D117" i="4" s="1"/>
  <c r="E301" i="5"/>
  <c r="D118" i="4" s="1"/>
  <c r="E304" i="5"/>
  <c r="D121" i="4" s="1"/>
  <c r="E307" i="5"/>
  <c r="D124" i="4" s="1"/>
  <c r="D123" i="4" s="1"/>
  <c r="E310" i="5"/>
  <c r="D127" i="4" s="1"/>
  <c r="E314" i="5"/>
  <c r="E315" i="5"/>
  <c r="E319" i="5"/>
  <c r="D137" i="4" s="1"/>
  <c r="D135" i="4" s="1"/>
  <c r="E321" i="5"/>
  <c r="D139" i="4" s="1"/>
  <c r="E322" i="5"/>
  <c r="E323" i="5"/>
  <c r="D141" i="4" s="1"/>
  <c r="E332" i="5"/>
  <c r="E329" i="5" s="1"/>
  <c r="E337" i="5"/>
  <c r="E333" i="5" s="1"/>
  <c r="E339" i="5"/>
  <c r="E340" i="5"/>
  <c r="D158" i="4" s="1"/>
  <c r="E344" i="5"/>
  <c r="E343" i="5" s="1"/>
  <c r="E347" i="5"/>
  <c r="D166" i="4" s="1"/>
  <c r="E348" i="5"/>
  <c r="D167" i="4" s="1"/>
  <c r="E352" i="5"/>
  <c r="D171" i="4" s="1"/>
  <c r="E363" i="5"/>
  <c r="E365" i="5"/>
  <c r="E366" i="5"/>
  <c r="D185" i="4" s="1"/>
  <c r="E369" i="5"/>
  <c r="D188" i="4" s="1"/>
  <c r="E371" i="5"/>
  <c r="D190" i="4" s="1"/>
  <c r="E374" i="5"/>
  <c r="E375" i="5"/>
  <c r="D194" i="4" s="1"/>
  <c r="E378" i="5"/>
  <c r="E380" i="5"/>
  <c r="E381" i="5"/>
  <c r="D201" i="4" s="1"/>
  <c r="E386" i="5"/>
  <c r="D206" i="4" s="1"/>
  <c r="E388" i="5"/>
  <c r="D209" i="4" s="1"/>
  <c r="E389" i="5"/>
  <c r="E390" i="5"/>
  <c r="D211" i="4" s="1"/>
  <c r="E395" i="5"/>
  <c r="E394" i="5" s="1"/>
  <c r="E401" i="5"/>
  <c r="E402" i="5"/>
  <c r="D223" i="4" s="1"/>
  <c r="E404" i="5"/>
  <c r="E410" i="5"/>
  <c r="D231" i="4" s="1"/>
  <c r="E412" i="5"/>
  <c r="E416" i="5"/>
  <c r="E418" i="5"/>
  <c r="E415" i="5" s="1"/>
  <c r="E423" i="5"/>
  <c r="E424" i="5"/>
  <c r="E425" i="5"/>
  <c r="D249" i="4" s="1"/>
  <c r="E428" i="5"/>
  <c r="E429" i="5"/>
  <c r="E431" i="5"/>
  <c r="E432" i="5"/>
  <c r="D257" i="4" s="1"/>
  <c r="E434" i="5"/>
  <c r="E433" i="5" s="1"/>
  <c r="E436" i="5"/>
  <c r="D261" i="4" s="1"/>
  <c r="D260" i="4" s="1"/>
  <c r="E439" i="5"/>
  <c r="D264" i="4" s="1"/>
  <c r="E440" i="5"/>
  <c r="E445" i="5"/>
  <c r="E444" i="5" s="1"/>
  <c r="E443" i="5" s="1"/>
  <c r="E446" i="5"/>
  <c r="E453" i="5"/>
  <c r="E456" i="5"/>
  <c r="E455" i="5" s="1"/>
  <c r="E460" i="5"/>
  <c r="E464" i="5"/>
  <c r="E473" i="5"/>
  <c r="E468" i="5" s="1"/>
  <c r="E478" i="5"/>
  <c r="E480" i="5"/>
  <c r="E486" i="5"/>
  <c r="E485" i="5" s="1"/>
  <c r="E494" i="5"/>
  <c r="E498" i="5"/>
  <c r="E503" i="5"/>
  <c r="E553" i="5"/>
  <c r="E554" i="5"/>
  <c r="E558" i="5"/>
  <c r="E557" i="5" s="1"/>
  <c r="E556" i="5" s="1"/>
  <c r="E568" i="5"/>
  <c r="E567" i="5" s="1"/>
  <c r="E576" i="5"/>
  <c r="E575" i="5" s="1"/>
  <c r="E574" i="5" s="1"/>
  <c r="E573" i="5" s="1"/>
  <c r="E581" i="5"/>
  <c r="E588" i="5"/>
  <c r="E593" i="5"/>
  <c r="E597" i="5"/>
  <c r="E596" i="5" s="1"/>
  <c r="E595" i="5" s="1"/>
  <c r="E598" i="5"/>
  <c r="E475" i="5" l="1"/>
  <c r="F61" i="2"/>
  <c r="F60" i="2" s="1"/>
  <c r="E61" i="2"/>
  <c r="E60" i="2" s="1"/>
  <c r="E56" i="2"/>
  <c r="E52" i="2" s="1"/>
  <c r="E27" i="2"/>
  <c r="E26" i="2" s="1"/>
  <c r="E11" i="2" s="1"/>
  <c r="F27" i="2"/>
  <c r="F26" i="2" s="1"/>
  <c r="F11" i="2" s="1"/>
  <c r="E122" i="1"/>
  <c r="B4" i="9"/>
  <c r="D84" i="4"/>
  <c r="E188" i="5"/>
  <c r="E114" i="5"/>
  <c r="E113" i="5" s="1"/>
  <c r="D204" i="4"/>
  <c r="E384" i="5"/>
  <c r="D120" i="4"/>
  <c r="E303" i="5"/>
  <c r="D98" i="4"/>
  <c r="C4" i="9"/>
  <c r="E272" i="5"/>
  <c r="D89" i="4"/>
  <c r="D88" i="4" s="1"/>
  <c r="E459" i="5"/>
  <c r="D105" i="4"/>
  <c r="D155" i="4"/>
  <c r="D151" i="4" s="1"/>
  <c r="D113" i="4"/>
  <c r="F52" i="2"/>
  <c r="F82" i="2"/>
  <c r="F81" i="2" s="1"/>
  <c r="H12" i="3" s="1"/>
  <c r="D116" i="4"/>
  <c r="D184" i="4"/>
  <c r="E497" i="5"/>
  <c r="E435" i="5"/>
  <c r="E430" i="5"/>
  <c r="E422" i="5"/>
  <c r="E318" i="5"/>
  <c r="E111" i="5"/>
  <c r="E442" i="5"/>
  <c r="E579" i="5"/>
  <c r="E225" i="5"/>
  <c r="E222" i="5" s="1"/>
  <c r="E218" i="5" s="1"/>
  <c r="E592" i="5"/>
  <c r="E591" i="5" s="1"/>
  <c r="E552" i="5"/>
  <c r="E551" i="5" s="1"/>
  <c r="E493" i="5"/>
  <c r="E211" i="5"/>
  <c r="E438" i="5"/>
  <c r="E437" i="5" s="1"/>
  <c r="D263" i="4"/>
  <c r="D262" i="4" s="1"/>
  <c r="D157" i="4"/>
  <c r="D99" i="4"/>
  <c r="D78" i="4"/>
  <c r="D77" i="4" s="1"/>
  <c r="D75" i="4" s="1"/>
  <c r="E400" i="5"/>
  <c r="E399" i="5" s="1"/>
  <c r="E398" i="5" s="1"/>
  <c r="D222" i="4"/>
  <c r="D221" i="4" s="1"/>
  <c r="D220" i="4" s="1"/>
  <c r="D219" i="4" s="1"/>
  <c r="D210" i="4"/>
  <c r="E377" i="5"/>
  <c r="D198" i="4"/>
  <c r="D197" i="4" s="1"/>
  <c r="E370" i="5"/>
  <c r="D189" i="4"/>
  <c r="D169" i="4"/>
  <c r="D170" i="4"/>
  <c r="D150" i="4"/>
  <c r="D147" i="4" s="1"/>
  <c r="E277" i="5"/>
  <c r="D95" i="4"/>
  <c r="D94" i="4" s="1"/>
  <c r="E12" i="5"/>
  <c r="E566" i="5"/>
  <c r="E427" i="5"/>
  <c r="D254" i="4"/>
  <c r="E409" i="5"/>
  <c r="E406" i="5" s="1"/>
  <c r="E403" i="5" s="1"/>
  <c r="D230" i="4"/>
  <c r="D227" i="4" s="1"/>
  <c r="D224" i="4" s="1"/>
  <c r="E379" i="5"/>
  <c r="D200" i="4"/>
  <c r="D199" i="4" s="1"/>
  <c r="D193" i="4"/>
  <c r="E368" i="5"/>
  <c r="D187" i="4"/>
  <c r="E362" i="5"/>
  <c r="D182" i="4"/>
  <c r="D181" i="4" s="1"/>
  <c r="E351" i="5"/>
  <c r="E350" i="5" s="1"/>
  <c r="D140" i="4"/>
  <c r="E306" i="5"/>
  <c r="E250" i="5"/>
  <c r="E261" i="5"/>
  <c r="E260" i="5" s="1"/>
  <c r="E248" i="5"/>
  <c r="D65" i="4"/>
  <c r="D64" i="4" s="1"/>
  <c r="E244" i="5"/>
  <c r="E67" i="2"/>
  <c r="E66" i="2" s="1"/>
  <c r="F47" i="2"/>
  <c r="F46" i="2" s="1"/>
  <c r="F45" i="2" s="1"/>
  <c r="F67" i="2"/>
  <c r="F66" i="2" s="1"/>
  <c r="E47" i="2"/>
  <c r="E46" i="2" s="1"/>
  <c r="E45" i="2" s="1"/>
  <c r="E125" i="5"/>
  <c r="C11" i="6"/>
  <c r="C15" i="6"/>
  <c r="D15" i="6"/>
  <c r="C17" i="6"/>
  <c r="D17" i="6"/>
  <c r="C28" i="6"/>
  <c r="C27" i="6" s="1"/>
  <c r="D28" i="6"/>
  <c r="D27" i="6" s="1"/>
  <c r="F270" i="5"/>
  <c r="C39" i="6"/>
  <c r="D39" i="6"/>
  <c r="C44" i="6"/>
  <c r="D44" i="6"/>
  <c r="F286" i="5"/>
  <c r="E302" i="5"/>
  <c r="D119" i="4" s="1"/>
  <c r="C73" i="6"/>
  <c r="D73" i="6"/>
  <c r="E311" i="5"/>
  <c r="D128" i="4" s="1"/>
  <c r="F316" i="5"/>
  <c r="F313" i="5" s="1"/>
  <c r="C85" i="6"/>
  <c r="D85" i="6"/>
  <c r="F328" i="5"/>
  <c r="F342" i="5"/>
  <c r="E160" i="4" s="1"/>
  <c r="C110" i="6"/>
  <c r="D110" i="6"/>
  <c r="E349" i="5"/>
  <c r="D168" i="4" s="1"/>
  <c r="C118" i="6"/>
  <c r="C117" i="6" s="1"/>
  <c r="D118" i="6"/>
  <c r="D117" i="6" s="1"/>
  <c r="C129" i="6"/>
  <c r="D129" i="6"/>
  <c r="C135" i="6"/>
  <c r="D135" i="6"/>
  <c r="C137" i="6"/>
  <c r="D137" i="6"/>
  <c r="C144" i="6"/>
  <c r="D144" i="6"/>
  <c r="C146" i="6"/>
  <c r="D146" i="6"/>
  <c r="F391" i="5"/>
  <c r="C163" i="6"/>
  <c r="C162" i="6" s="1"/>
  <c r="D163" i="6"/>
  <c r="D162" i="6" s="1"/>
  <c r="C167" i="6"/>
  <c r="C166" i="6" s="1"/>
  <c r="C165" i="6" s="1"/>
  <c r="D167" i="6"/>
  <c r="D166" i="6" s="1"/>
  <c r="D165" i="6" s="1"/>
  <c r="C171" i="6"/>
  <c r="D171" i="6"/>
  <c r="C176" i="6"/>
  <c r="C173" i="6" s="1"/>
  <c r="D176" i="6"/>
  <c r="D173" i="6" s="1"/>
  <c r="C179" i="6"/>
  <c r="D179" i="6"/>
  <c r="C184" i="6"/>
  <c r="C183" i="6" s="1"/>
  <c r="D184" i="6"/>
  <c r="D183" i="6" s="1"/>
  <c r="C186" i="6"/>
  <c r="D186" i="6"/>
  <c r="C190" i="6"/>
  <c r="D190" i="6"/>
  <c r="C195" i="6"/>
  <c r="D195" i="6"/>
  <c r="C198" i="6"/>
  <c r="D198" i="6"/>
  <c r="C201" i="6"/>
  <c r="D201" i="6"/>
  <c r="C203" i="6"/>
  <c r="D203" i="6"/>
  <c r="C205" i="6"/>
  <c r="D205" i="6"/>
  <c r="C206" i="6"/>
  <c r="D206" i="6"/>
  <c r="C208" i="6"/>
  <c r="D208" i="6"/>
  <c r="C212" i="6"/>
  <c r="C211" i="6" s="1"/>
  <c r="D212" i="6"/>
  <c r="D211" i="6" s="1"/>
  <c r="C214" i="6"/>
  <c r="D214" i="6"/>
  <c r="E108" i="5"/>
  <c r="E107" i="5" s="1"/>
  <c r="F108" i="5"/>
  <c r="C224" i="6"/>
  <c r="D224" i="6"/>
  <c r="C226" i="6"/>
  <c r="D226" i="6"/>
  <c r="C235" i="6"/>
  <c r="C234" i="6" s="1"/>
  <c r="D235" i="6"/>
  <c r="D234" i="6" s="1"/>
  <c r="C252" i="6"/>
  <c r="D252" i="6"/>
  <c r="E143" i="5"/>
  <c r="D108" i="4" s="1"/>
  <c r="E146" i="5"/>
  <c r="E144" i="5" s="1"/>
  <c r="F162" i="5"/>
  <c r="F159" i="5" s="1"/>
  <c r="F154" i="5" s="1"/>
  <c r="F124" i="5" s="1"/>
  <c r="C278" i="6"/>
  <c r="D278" i="6"/>
  <c r="C300" i="6"/>
  <c r="C299" i="6" s="1"/>
  <c r="E526" i="5" s="1"/>
  <c r="E525" i="5" s="1"/>
  <c r="E524" i="5" s="1"/>
  <c r="E514" i="5" s="1"/>
  <c r="D300" i="6"/>
  <c r="D299" i="6" s="1"/>
  <c r="F526" i="5" s="1"/>
  <c r="F525" i="5" s="1"/>
  <c r="F524" i="5" s="1"/>
  <c r="F514" i="5" s="1"/>
  <c r="C311" i="6"/>
  <c r="E545" i="5" s="1"/>
  <c r="E544" i="5" s="1"/>
  <c r="E543" i="5" s="1"/>
  <c r="E542" i="5" s="1"/>
  <c r="D311" i="6"/>
  <c r="F545" i="5" s="1"/>
  <c r="F544" i="5" s="1"/>
  <c r="F543" i="5" s="1"/>
  <c r="F542" i="5" s="1"/>
  <c r="C320" i="6"/>
  <c r="C319" i="6" s="1"/>
  <c r="D320" i="6"/>
  <c r="D319" i="6" s="1"/>
  <c r="C323" i="6"/>
  <c r="D323" i="6"/>
  <c r="C325" i="6"/>
  <c r="D325" i="6"/>
  <c r="C329" i="6"/>
  <c r="D329" i="6"/>
  <c r="C333" i="6"/>
  <c r="C332" i="6" s="1"/>
  <c r="D333" i="6"/>
  <c r="D332" i="6" s="1"/>
  <c r="C336" i="6"/>
  <c r="D336" i="6"/>
  <c r="C338" i="6"/>
  <c r="D338" i="6"/>
  <c r="C345" i="6"/>
  <c r="D345" i="6"/>
  <c r="C347" i="6"/>
  <c r="D347" i="6"/>
  <c r="C353" i="6"/>
  <c r="C352" i="6" s="1"/>
  <c r="D353" i="6"/>
  <c r="D352" i="6" s="1"/>
  <c r="C357" i="6"/>
  <c r="D357" i="6"/>
  <c r="C360" i="6"/>
  <c r="C359" i="6" s="1"/>
  <c r="D360" i="6"/>
  <c r="D359" i="6" s="1"/>
  <c r="C363" i="6"/>
  <c r="C362" i="6" s="1"/>
  <c r="D363" i="6"/>
  <c r="D362" i="6" s="1"/>
  <c r="C374" i="6"/>
  <c r="C373" i="6" s="1"/>
  <c r="D374" i="6"/>
  <c r="D373" i="6" s="1"/>
  <c r="C378" i="6"/>
  <c r="C377" i="6" s="1"/>
  <c r="D378" i="6"/>
  <c r="D377" i="6" s="1"/>
  <c r="C382" i="6"/>
  <c r="D382" i="6"/>
  <c r="C396" i="6"/>
  <c r="C395" i="6" s="1"/>
  <c r="D396" i="6"/>
  <c r="D395" i="6" s="1"/>
  <c r="C400" i="6"/>
  <c r="D400" i="6"/>
  <c r="C407" i="6"/>
  <c r="C406" i="6" s="1"/>
  <c r="C405" i="6" s="1"/>
  <c r="D407" i="6"/>
  <c r="D406" i="6" s="1"/>
  <c r="D405" i="6" s="1"/>
  <c r="C414" i="6"/>
  <c r="C421" i="6"/>
  <c r="C426" i="6"/>
  <c r="D426" i="6"/>
  <c r="C431" i="6"/>
  <c r="C428" i="6" s="1"/>
  <c r="D431" i="6"/>
  <c r="D428" i="6" s="1"/>
  <c r="C443" i="6"/>
  <c r="D443" i="6"/>
  <c r="C446" i="6"/>
  <c r="D446" i="6"/>
  <c r="C448" i="6"/>
  <c r="D448" i="6"/>
  <c r="C452" i="6"/>
  <c r="D452" i="6"/>
  <c r="D456" i="6"/>
  <c r="C507" i="6"/>
  <c r="C506" i="6" s="1"/>
  <c r="D507" i="6"/>
  <c r="D506" i="6" s="1"/>
  <c r="C509" i="6"/>
  <c r="D509" i="6"/>
  <c r="C512" i="6"/>
  <c r="C511" i="6" s="1"/>
  <c r="D512" i="6"/>
  <c r="D511" i="6" s="1"/>
  <c r="C515" i="6"/>
  <c r="D515" i="6"/>
  <c r="C517" i="6"/>
  <c r="D517" i="6"/>
  <c r="C519" i="6"/>
  <c r="D519" i="6"/>
  <c r="C563" i="6"/>
  <c r="C562" i="6" s="1"/>
  <c r="D563" i="6"/>
  <c r="D562" i="6" s="1"/>
  <c r="C566" i="6"/>
  <c r="C565" i="6" s="1"/>
  <c r="D566" i="6"/>
  <c r="D565" i="6" s="1"/>
  <c r="C572" i="6"/>
  <c r="C571" i="6" s="1"/>
  <c r="D572" i="6"/>
  <c r="D571" i="6" s="1"/>
  <c r="C576" i="6"/>
  <c r="D576" i="6"/>
  <c r="C580" i="6"/>
  <c r="D580" i="6"/>
  <c r="C582" i="6"/>
  <c r="D582" i="6"/>
  <c r="C584" i="6"/>
  <c r="D584" i="6"/>
  <c r="C587" i="6"/>
  <c r="D587" i="6"/>
  <c r="C589" i="6"/>
  <c r="D589" i="6"/>
  <c r="D600" i="6"/>
  <c r="D599" i="6" s="1"/>
  <c r="C603" i="6"/>
  <c r="C602" i="6" s="1"/>
  <c r="C598" i="6" s="1"/>
  <c r="D603" i="6"/>
  <c r="D602" i="6" s="1"/>
  <c r="C607" i="6"/>
  <c r="C606" i="6" s="1"/>
  <c r="D607" i="6"/>
  <c r="D606" i="6" s="1"/>
  <c r="C615" i="6"/>
  <c r="D615" i="6"/>
  <c r="C617" i="6"/>
  <c r="E452" i="5" s="1"/>
  <c r="D617" i="6"/>
  <c r="C623" i="6"/>
  <c r="C619" i="6" s="1"/>
  <c r="D623" i="6"/>
  <c r="D619" i="6" s="1"/>
  <c r="D628" i="6"/>
  <c r="D630" i="6"/>
  <c r="C678" i="6"/>
  <c r="D678" i="6"/>
  <c r="C681" i="6"/>
  <c r="E531" i="5" s="1"/>
  <c r="E529" i="5" s="1"/>
  <c r="D681" i="6"/>
  <c r="F531" i="5" s="1"/>
  <c r="F529" i="5" s="1"/>
  <c r="C684" i="6"/>
  <c r="E534" i="5" s="1"/>
  <c r="E533" i="5" s="1"/>
  <c r="D684" i="6"/>
  <c r="F534" i="5" s="1"/>
  <c r="F533" i="5" s="1"/>
  <c r="C689" i="6"/>
  <c r="C686" i="6" s="1"/>
  <c r="E536" i="5" s="1"/>
  <c r="E535" i="5" s="1"/>
  <c r="D689" i="6"/>
  <c r="D686" i="6" s="1"/>
  <c r="F536" i="5" s="1"/>
  <c r="E562" i="5"/>
  <c r="E561" i="5" s="1"/>
  <c r="E560" i="5" s="1"/>
  <c r="F562" i="5"/>
  <c r="C699" i="6"/>
  <c r="C698" i="6" s="1"/>
  <c r="D699" i="6"/>
  <c r="D698" i="6" s="1"/>
  <c r="C704" i="6"/>
  <c r="D704" i="6"/>
  <c r="C707" i="6"/>
  <c r="D707" i="6"/>
  <c r="C709" i="6"/>
  <c r="D709" i="6"/>
  <c r="C711" i="6"/>
  <c r="D711" i="6"/>
  <c r="C715" i="6"/>
  <c r="C714" i="6" s="1"/>
  <c r="C713" i="6" s="1"/>
  <c r="D715" i="6"/>
  <c r="D714" i="6" s="1"/>
  <c r="D713" i="6" s="1"/>
  <c r="E484" i="6"/>
  <c r="I108" i="5"/>
  <c r="H61" i="4" s="1"/>
  <c r="H108" i="5"/>
  <c r="G61" i="4" s="1"/>
  <c r="G108" i="5"/>
  <c r="F61" i="4" s="1"/>
  <c r="F689" i="6"/>
  <c r="G689" i="6"/>
  <c r="F694" i="6"/>
  <c r="F692" i="6" s="1"/>
  <c r="G694" i="6"/>
  <c r="G692" i="6" s="1"/>
  <c r="E689" i="6"/>
  <c r="E686" i="6" s="1"/>
  <c r="E694" i="6"/>
  <c r="E692" i="6" s="1"/>
  <c r="G715" i="6"/>
  <c r="G714" i="6" s="1"/>
  <c r="G713" i="6" s="1"/>
  <c r="F715" i="6"/>
  <c r="F714" i="6" s="1"/>
  <c r="F713" i="6" s="1"/>
  <c r="E715" i="6"/>
  <c r="E714" i="6" s="1"/>
  <c r="E713" i="6" s="1"/>
  <c r="G711" i="6"/>
  <c r="F711" i="6"/>
  <c r="E711" i="6"/>
  <c r="G709" i="6"/>
  <c r="F709" i="6"/>
  <c r="E709" i="6"/>
  <c r="G707" i="6"/>
  <c r="F707" i="6"/>
  <c r="E707" i="6"/>
  <c r="G704" i="6"/>
  <c r="F704" i="6"/>
  <c r="E704" i="6"/>
  <c r="G607" i="6"/>
  <c r="G606" i="6" s="1"/>
  <c r="F607" i="6"/>
  <c r="F606" i="6" s="1"/>
  <c r="E607" i="6"/>
  <c r="E606" i="6" s="1"/>
  <c r="G603" i="6"/>
  <c r="G602" i="6" s="1"/>
  <c r="G598" i="6" s="1"/>
  <c r="G597" i="6" s="1"/>
  <c r="G596" i="6" s="1"/>
  <c r="G595" i="6" s="1"/>
  <c r="F603" i="6"/>
  <c r="F602" i="6" s="1"/>
  <c r="F598" i="6" s="1"/>
  <c r="F597" i="6" s="1"/>
  <c r="F596" i="6" s="1"/>
  <c r="F595" i="6" s="1"/>
  <c r="E603" i="6"/>
  <c r="E602" i="6" s="1"/>
  <c r="E598" i="6" s="1"/>
  <c r="E597" i="6" s="1"/>
  <c r="E596" i="6" s="1"/>
  <c r="E595" i="6" s="1"/>
  <c r="F484" i="6"/>
  <c r="G484" i="6"/>
  <c r="F396" i="6"/>
  <c r="G396" i="6"/>
  <c r="E396" i="6"/>
  <c r="H50" i="2"/>
  <c r="I50" i="2"/>
  <c r="G50" i="2"/>
  <c r="E528" i="5" l="1"/>
  <c r="F535" i="5"/>
  <c r="F528" i="5" s="1"/>
  <c r="F527" i="5"/>
  <c r="F513" i="5" s="1"/>
  <c r="E527" i="5"/>
  <c r="E513" i="5" s="1"/>
  <c r="E458" i="5"/>
  <c r="E51" i="2"/>
  <c r="E10" i="2" s="1"/>
  <c r="F51" i="2"/>
  <c r="F10" i="2" s="1"/>
  <c r="H11" i="3" s="1"/>
  <c r="H10" i="3" s="1"/>
  <c r="D598" i="6"/>
  <c r="E550" i="5"/>
  <c r="E549" i="5" s="1"/>
  <c r="E577" i="5" s="1"/>
  <c r="B39" i="9" s="1"/>
  <c r="B38" i="9" s="1"/>
  <c r="F267" i="5"/>
  <c r="F266" i="5" s="1"/>
  <c r="E86" i="4"/>
  <c r="E83" i="4" s="1"/>
  <c r="E345" i="5"/>
  <c r="D164" i="4"/>
  <c r="H107" i="5"/>
  <c r="H106" i="5" s="1"/>
  <c r="H105" i="5" s="1"/>
  <c r="G60" i="4"/>
  <c r="F107" i="5"/>
  <c r="F106" i="5" s="1"/>
  <c r="F105" i="5" s="1"/>
  <c r="F104" i="5" s="1"/>
  <c r="F239" i="5" s="1"/>
  <c r="E61" i="4"/>
  <c r="E60" i="4" s="1"/>
  <c r="E59" i="4" s="1"/>
  <c r="F387" i="5"/>
  <c r="F383" i="5" s="1"/>
  <c r="F382" i="5" s="1"/>
  <c r="E212" i="4"/>
  <c r="E208" i="4" s="1"/>
  <c r="E203" i="4" s="1"/>
  <c r="E202" i="4" s="1"/>
  <c r="F280" i="5"/>
  <c r="F279" i="5" s="1"/>
  <c r="E103" i="4"/>
  <c r="E97" i="4" s="1"/>
  <c r="E96" i="4" s="1"/>
  <c r="G107" i="5"/>
  <c r="G106" i="5" s="1"/>
  <c r="G105" i="5" s="1"/>
  <c r="F60" i="4"/>
  <c r="I107" i="5"/>
  <c r="I106" i="5" s="1"/>
  <c r="I105" i="5" s="1"/>
  <c r="H60" i="4"/>
  <c r="F338" i="5"/>
  <c r="E156" i="4"/>
  <c r="E133" i="4"/>
  <c r="F561" i="5"/>
  <c r="F560" i="5" s="1"/>
  <c r="E131" i="4"/>
  <c r="F320" i="5"/>
  <c r="E146" i="4"/>
  <c r="E138" i="4" s="1"/>
  <c r="C610" i="6"/>
  <c r="C609" i="6" s="1"/>
  <c r="C597" i="6" s="1"/>
  <c r="C596" i="6" s="1"/>
  <c r="C595" i="6" s="1"/>
  <c r="F349" i="5"/>
  <c r="F345" i="5" s="1"/>
  <c r="F367" i="5"/>
  <c r="F259" i="5"/>
  <c r="F376" i="5"/>
  <c r="F372" i="5" s="1"/>
  <c r="D625" i="6"/>
  <c r="D610" i="6"/>
  <c r="D442" i="6"/>
  <c r="C442" i="6"/>
  <c r="E492" i="5"/>
  <c r="E512" i="5" s="1"/>
  <c r="C413" i="6"/>
  <c r="C412" i="6" s="1"/>
  <c r="C586" i="6"/>
  <c r="D126" i="4"/>
  <c r="E600" i="5"/>
  <c r="B41" i="9" s="1"/>
  <c r="B40" i="9" s="1"/>
  <c r="E243" i="5"/>
  <c r="D394" i="6"/>
  <c r="D393" i="6" s="1"/>
  <c r="D392" i="6" s="1"/>
  <c r="D376" i="6"/>
  <c r="D322" i="6"/>
  <c r="D76" i="6"/>
  <c r="E309" i="5"/>
  <c r="E451" i="5"/>
  <c r="E316" i="5"/>
  <c r="E313" i="5" s="1"/>
  <c r="D677" i="6"/>
  <c r="D257" i="6"/>
  <c r="D254" i="6"/>
  <c r="D170" i="6"/>
  <c r="E421" i="5"/>
  <c r="E420" i="5" s="1"/>
  <c r="E414" i="5" s="1"/>
  <c r="C335" i="6"/>
  <c r="C331" i="6" s="1"/>
  <c r="C257" i="6"/>
  <c r="C254" i="6"/>
  <c r="E106" i="5"/>
  <c r="E105" i="5" s="1"/>
  <c r="C189" i="6"/>
  <c r="C188" i="6" s="1"/>
  <c r="C182" i="6"/>
  <c r="C170" i="6"/>
  <c r="C677" i="6"/>
  <c r="D210" i="6"/>
  <c r="D586" i="6"/>
  <c r="D425" i="6"/>
  <c r="D424" i="6" s="1"/>
  <c r="D131" i="6"/>
  <c r="C425" i="6"/>
  <c r="C424" i="6" s="1"/>
  <c r="D703" i="6"/>
  <c r="D702" i="6" s="1"/>
  <c r="D701" i="6" s="1"/>
  <c r="C505" i="6"/>
  <c r="D351" i="6"/>
  <c r="D350" i="6" s="1"/>
  <c r="E141" i="5"/>
  <c r="E138" i="5" s="1"/>
  <c r="D115" i="4"/>
  <c r="C10" i="6"/>
  <c r="D694" i="6"/>
  <c r="D692" i="6" s="1"/>
  <c r="D683" i="6" s="1"/>
  <c r="D488" i="6"/>
  <c r="D484" i="6"/>
  <c r="C561" i="6"/>
  <c r="C554" i="6" s="1"/>
  <c r="C553" i="6" s="1"/>
  <c r="C552" i="6" s="1"/>
  <c r="C551" i="6" s="1"/>
  <c r="E367" i="5"/>
  <c r="D186" i="4" s="1"/>
  <c r="C131" i="6"/>
  <c r="D11" i="6"/>
  <c r="D10" i="6" s="1"/>
  <c r="D220" i="6"/>
  <c r="D219" i="6" s="1"/>
  <c r="D218" i="6" s="1"/>
  <c r="C155" i="6"/>
  <c r="C150" i="6" s="1"/>
  <c r="E391" i="5"/>
  <c r="E376" i="5"/>
  <c r="E372" i="5" s="1"/>
  <c r="E342" i="5"/>
  <c r="D160" i="4" s="1"/>
  <c r="C703" i="6"/>
  <c r="C702" i="6" s="1"/>
  <c r="C701" i="6" s="1"/>
  <c r="C270" i="6"/>
  <c r="C265" i="6" s="1"/>
  <c r="E162" i="5"/>
  <c r="E159" i="5" s="1"/>
  <c r="E154" i="5" s="1"/>
  <c r="D60" i="6"/>
  <c r="D47" i="6"/>
  <c r="D41" i="6"/>
  <c r="C461" i="6"/>
  <c r="D131" i="4"/>
  <c r="D87" i="6"/>
  <c r="D65" i="6"/>
  <c r="C60" i="6"/>
  <c r="E297" i="5"/>
  <c r="D114" i="4" s="1"/>
  <c r="E270" i="5"/>
  <c r="D500" i="6"/>
  <c r="D499" i="6" s="1"/>
  <c r="D498" i="6" s="1"/>
  <c r="D486" i="6"/>
  <c r="D479" i="6"/>
  <c r="D467" i="6"/>
  <c r="C394" i="6"/>
  <c r="C393" i="6" s="1"/>
  <c r="C392" i="6" s="1"/>
  <c r="C376" i="6"/>
  <c r="C322" i="6"/>
  <c r="D238" i="6"/>
  <c r="C87" i="6"/>
  <c r="E328" i="5"/>
  <c r="D54" i="6"/>
  <c r="E298" i="5"/>
  <c r="D61" i="4"/>
  <c r="D60" i="4" s="1"/>
  <c r="C488" i="6"/>
  <c r="C484" i="6"/>
  <c r="D247" i="4"/>
  <c r="C47" i="6"/>
  <c r="E286" i="5"/>
  <c r="D103" i="4" s="1"/>
  <c r="C41" i="6"/>
  <c r="E276" i="5"/>
  <c r="D93" i="4" s="1"/>
  <c r="C694" i="6"/>
  <c r="C575" i="6"/>
  <c r="C514" i="6"/>
  <c r="C500" i="6"/>
  <c r="C499" i="6" s="1"/>
  <c r="C498" i="6" s="1"/>
  <c r="C486" i="6"/>
  <c r="D256" i="4"/>
  <c r="C479" i="6"/>
  <c r="D248" i="4"/>
  <c r="C467" i="6"/>
  <c r="D163" i="4"/>
  <c r="D161" i="4" s="1"/>
  <c r="D132" i="4"/>
  <c r="C351" i="6"/>
  <c r="C350" i="6" s="1"/>
  <c r="D335" i="6"/>
  <c r="D331" i="6" s="1"/>
  <c r="D270" i="6"/>
  <c r="D265" i="6" s="1"/>
  <c r="C238" i="6"/>
  <c r="C220" i="6"/>
  <c r="C219" i="6" s="1"/>
  <c r="C218" i="6" s="1"/>
  <c r="C210" i="6"/>
  <c r="D182" i="6"/>
  <c r="D155" i="6"/>
  <c r="D150" i="6" s="1"/>
  <c r="D149" i="6" s="1"/>
  <c r="D105" i="6"/>
  <c r="C65" i="6"/>
  <c r="E292" i="5"/>
  <c r="D20" i="6"/>
  <c r="D19" i="6" s="1"/>
  <c r="C20" i="6"/>
  <c r="C19" i="6" s="1"/>
  <c r="E259" i="5"/>
  <c r="D74" i="4" s="1"/>
  <c r="C41" i="9"/>
  <c r="C40" i="9" s="1"/>
  <c r="D575" i="6"/>
  <c r="D461" i="6"/>
  <c r="D561" i="6"/>
  <c r="D554" i="6" s="1"/>
  <c r="D553" i="6" s="1"/>
  <c r="D552" i="6" s="1"/>
  <c r="D551" i="6" s="1"/>
  <c r="D189" i="6"/>
  <c r="D188" i="6" s="1"/>
  <c r="D514" i="6"/>
  <c r="D505" i="6"/>
  <c r="F703" i="6"/>
  <c r="F702" i="6" s="1"/>
  <c r="F701" i="6" s="1"/>
  <c r="E703" i="6"/>
  <c r="E702" i="6" s="1"/>
  <c r="E701" i="6" s="1"/>
  <c r="G703" i="6"/>
  <c r="G702" i="6" s="1"/>
  <c r="G701" i="6" s="1"/>
  <c r="G273" i="6"/>
  <c r="I162" i="5" s="1"/>
  <c r="I159" i="5" s="1"/>
  <c r="I154" i="5" s="1"/>
  <c r="I124" i="5" s="1"/>
  <c r="F273" i="6"/>
  <c r="H162" i="5" s="1"/>
  <c r="H159" i="5" s="1"/>
  <c r="H154" i="5" s="1"/>
  <c r="H124" i="5" s="1"/>
  <c r="G162" i="5"/>
  <c r="G159" i="5" s="1"/>
  <c r="G154" i="5" s="1"/>
  <c r="G11" i="6"/>
  <c r="F11" i="6"/>
  <c r="F28" i="6"/>
  <c r="F27" i="6" s="1"/>
  <c r="G28" i="6"/>
  <c r="G27" i="6" s="1"/>
  <c r="F17" i="6"/>
  <c r="G17" i="6"/>
  <c r="F15" i="6"/>
  <c r="G15" i="6"/>
  <c r="F59" i="4" l="1"/>
  <c r="F58" i="4" s="1"/>
  <c r="G59" i="4"/>
  <c r="G58" i="4" s="1"/>
  <c r="H59" i="4"/>
  <c r="H58" i="4" s="1"/>
  <c r="E74" i="4"/>
  <c r="E67" i="4" s="1"/>
  <c r="E66" i="4" s="1"/>
  <c r="E58" i="4" s="1"/>
  <c r="F253" i="5"/>
  <c r="F252" i="5" s="1"/>
  <c r="F242" i="5" s="1"/>
  <c r="C181" i="6"/>
  <c r="E450" i="5"/>
  <c r="E491" i="5" s="1"/>
  <c r="B33" i="9" s="1"/>
  <c r="B32" i="9" s="1"/>
  <c r="F550" i="5"/>
  <c r="F549" i="5" s="1"/>
  <c r="F577" i="5" s="1"/>
  <c r="C39" i="9" s="1"/>
  <c r="C38" i="9" s="1"/>
  <c r="G124" i="5"/>
  <c r="G104" i="5" s="1"/>
  <c r="G239" i="5" s="1"/>
  <c r="G240" i="5" s="1"/>
  <c r="E130" i="4"/>
  <c r="H104" i="5"/>
  <c r="H239" i="5" s="1"/>
  <c r="H240" i="5" s="1"/>
  <c r="D86" i="4"/>
  <c r="D83" i="4" s="1"/>
  <c r="E267" i="5"/>
  <c r="E82" i="4"/>
  <c r="I104" i="5"/>
  <c r="I239" i="5" s="1"/>
  <c r="I240" i="5" s="1"/>
  <c r="F364" i="5"/>
  <c r="F361" i="5" s="1"/>
  <c r="E186" i="4"/>
  <c r="E183" i="4" s="1"/>
  <c r="E196" i="4"/>
  <c r="E191" i="4" s="1"/>
  <c r="F308" i="5"/>
  <c r="E168" i="4"/>
  <c r="D609" i="6"/>
  <c r="D597" i="6" s="1"/>
  <c r="D596" i="6" s="1"/>
  <c r="D595" i="6" s="1"/>
  <c r="C29" i="9"/>
  <c r="C28" i="9" s="1"/>
  <c r="E124" i="5"/>
  <c r="E104" i="5" s="1"/>
  <c r="E239" i="5" s="1"/>
  <c r="B29" i="9" s="1"/>
  <c r="B28" i="9" s="1"/>
  <c r="D128" i="6"/>
  <c r="E338" i="5"/>
  <c r="D156" i="4"/>
  <c r="F88" i="2"/>
  <c r="E88" i="2"/>
  <c r="G11" i="3"/>
  <c r="G10" i="3" s="1"/>
  <c r="C574" i="6"/>
  <c r="C560" i="6" s="1"/>
  <c r="C559" i="6" s="1"/>
  <c r="C558" i="6" s="1"/>
  <c r="C149" i="6"/>
  <c r="D504" i="6"/>
  <c r="D503" i="6" s="1"/>
  <c r="D502" i="6" s="1"/>
  <c r="C411" i="6"/>
  <c r="C251" i="6"/>
  <c r="C237" i="6" s="1"/>
  <c r="C217" i="6" s="1"/>
  <c r="D349" i="6"/>
  <c r="D251" i="6"/>
  <c r="C9" i="6"/>
  <c r="D676" i="6"/>
  <c r="D675" i="6" s="1"/>
  <c r="D674" i="6" s="1"/>
  <c r="D574" i="6"/>
  <c r="D560" i="6" s="1"/>
  <c r="D559" i="6" s="1"/>
  <c r="D558" i="6" s="1"/>
  <c r="C75" i="6"/>
  <c r="D75" i="6"/>
  <c r="C33" i="6"/>
  <c r="C349" i="6"/>
  <c r="C46" i="6"/>
  <c r="C478" i="6"/>
  <c r="C474" i="6" s="1"/>
  <c r="C469" i="6" s="1"/>
  <c r="D33" i="6"/>
  <c r="D181" i="6"/>
  <c r="D411" i="6"/>
  <c r="C460" i="6"/>
  <c r="C451" i="6" s="1"/>
  <c r="C441" i="6" s="1"/>
  <c r="C434" i="6" s="1"/>
  <c r="C433" i="6" s="1"/>
  <c r="C692" i="6"/>
  <c r="C683" i="6" s="1"/>
  <c r="C676" i="6" s="1"/>
  <c r="C675" i="6" s="1"/>
  <c r="C674" i="6" s="1"/>
  <c r="C504" i="6"/>
  <c r="C503" i="6" s="1"/>
  <c r="C502" i="6" s="1"/>
  <c r="D133" i="4"/>
  <c r="D130" i="4" s="1"/>
  <c r="D253" i="4"/>
  <c r="D252" i="4" s="1"/>
  <c r="E84" i="5"/>
  <c r="D146" i="4"/>
  <c r="D138" i="4" s="1"/>
  <c r="E320" i="5"/>
  <c r="D460" i="6"/>
  <c r="D271" i="4"/>
  <c r="D270" i="4" s="1"/>
  <c r="D269" i="4" s="1"/>
  <c r="D268" i="4" s="1"/>
  <c r="E100" i="5"/>
  <c r="E99" i="5" s="1"/>
  <c r="E98" i="5" s="1"/>
  <c r="D246" i="4"/>
  <c r="D259" i="4"/>
  <c r="D258" i="4" s="1"/>
  <c r="E88" i="5"/>
  <c r="D59" i="4"/>
  <c r="D478" i="6"/>
  <c r="D474" i="6" s="1"/>
  <c r="D469" i="6" s="1"/>
  <c r="D196" i="4"/>
  <c r="D191" i="4" s="1"/>
  <c r="D9" i="6"/>
  <c r="D110" i="4"/>
  <c r="E293" i="5"/>
  <c r="D183" i="4"/>
  <c r="E364" i="5"/>
  <c r="D109" i="4"/>
  <c r="D104" i="4" s="1"/>
  <c r="E287" i="5"/>
  <c r="E274" i="5"/>
  <c r="D91" i="4"/>
  <c r="E53" i="5"/>
  <c r="E41" i="5" s="1"/>
  <c r="E19" i="5" s="1"/>
  <c r="D255" i="4"/>
  <c r="E86" i="5"/>
  <c r="D97" i="4"/>
  <c r="E280" i="5"/>
  <c r="E79" i="5"/>
  <c r="D46" i="6"/>
  <c r="D212" i="4"/>
  <c r="D208" i="4" s="1"/>
  <c r="E387" i="5"/>
  <c r="C128" i="6"/>
  <c r="D67" i="4"/>
  <c r="D66" i="4" s="1"/>
  <c r="E253" i="5"/>
  <c r="E252" i="5" s="1"/>
  <c r="E242" i="5" s="1"/>
  <c r="G10" i="6"/>
  <c r="F10" i="6"/>
  <c r="D732" i="6" l="1"/>
  <c r="C732" i="6"/>
  <c r="E78" i="5"/>
  <c r="E74" i="5" s="1"/>
  <c r="E69" i="5" s="1"/>
  <c r="D245" i="4"/>
  <c r="D241" i="4" s="1"/>
  <c r="D234" i="4" s="1"/>
  <c r="G15" i="3" s="1"/>
  <c r="E164" i="4"/>
  <c r="E125" i="4" s="1"/>
  <c r="F265" i="5"/>
  <c r="F241" i="5" s="1"/>
  <c r="F448" i="5" s="1"/>
  <c r="E180" i="4"/>
  <c r="C33" i="9"/>
  <c r="C32" i="9" s="1"/>
  <c r="C440" i="6"/>
  <c r="C439" i="6" s="1"/>
  <c r="C216" i="6"/>
  <c r="D237" i="6"/>
  <c r="C32" i="6"/>
  <c r="C8" i="6" s="1"/>
  <c r="C731" i="6" s="1"/>
  <c r="D32" i="6"/>
  <c r="D8" i="6" s="1"/>
  <c r="D451" i="6"/>
  <c r="D441" i="6" s="1"/>
  <c r="E383" i="5"/>
  <c r="E382" i="5" s="1"/>
  <c r="D203" i="4"/>
  <c r="D202" i="4" s="1"/>
  <c r="E308" i="5"/>
  <c r="E279" i="5"/>
  <c r="E361" i="5"/>
  <c r="D96" i="4"/>
  <c r="D58" i="4"/>
  <c r="D180" i="4"/>
  <c r="E266" i="5"/>
  <c r="D125" i="4"/>
  <c r="D82" i="4"/>
  <c r="H15" i="3"/>
  <c r="I316" i="5"/>
  <c r="I313" i="5" s="1"/>
  <c r="H316" i="5"/>
  <c r="H313" i="5" s="1"/>
  <c r="G316" i="5"/>
  <c r="G313" i="5" s="1"/>
  <c r="G76" i="6"/>
  <c r="F76" i="6"/>
  <c r="E76" i="6"/>
  <c r="G20" i="6"/>
  <c r="G19" i="6" s="1"/>
  <c r="G9" i="6" s="1"/>
  <c r="F20" i="6"/>
  <c r="F19" i="6" s="1"/>
  <c r="F9" i="6" s="1"/>
  <c r="D440" i="6" l="1"/>
  <c r="D439" i="6" s="1"/>
  <c r="D434" i="6"/>
  <c r="D433" i="6" s="1"/>
  <c r="D217" i="6"/>
  <c r="D731" i="6" s="1"/>
  <c r="D733" i="6" s="1"/>
  <c r="C733" i="6"/>
  <c r="E81" i="4"/>
  <c r="E57" i="4" s="1"/>
  <c r="E274" i="4" s="1"/>
  <c r="F8" i="5"/>
  <c r="F602" i="5"/>
  <c r="I308" i="5"/>
  <c r="I265" i="5" s="1"/>
  <c r="I241" i="5" s="1"/>
  <c r="H133" i="4"/>
  <c r="H308" i="5"/>
  <c r="H265" i="5" s="1"/>
  <c r="H241" i="5" s="1"/>
  <c r="G133" i="4"/>
  <c r="G308" i="5"/>
  <c r="F133" i="4"/>
  <c r="D7" i="6"/>
  <c r="D81" i="4"/>
  <c r="D57" i="4" s="1"/>
  <c r="E265" i="5"/>
  <c r="E241" i="5" s="1"/>
  <c r="C31" i="9"/>
  <c r="C30" i="9" s="1"/>
  <c r="E11" i="5"/>
  <c r="C7" i="6"/>
  <c r="E9" i="5"/>
  <c r="C27" i="9"/>
  <c r="C26" i="9" s="1"/>
  <c r="I8" i="5" l="1"/>
  <c r="H8" i="5"/>
  <c r="G265" i="5"/>
  <c r="G241" i="5" s="1"/>
  <c r="G448" i="5" s="1"/>
  <c r="G449" i="5" s="1"/>
  <c r="I448" i="5"/>
  <c r="I449" i="5" s="1"/>
  <c r="C6" i="6"/>
  <c r="C5" i="6"/>
  <c r="D216" i="6"/>
  <c r="D6" i="6" s="1"/>
  <c r="H14" i="3"/>
  <c r="H13" i="3" s="1"/>
  <c r="H16" i="3" s="1"/>
  <c r="H38" i="3" s="1"/>
  <c r="G130" i="4"/>
  <c r="G125" i="4" s="1"/>
  <c r="G81" i="4" s="1"/>
  <c r="G57" i="4" s="1"/>
  <c r="G274" i="4" s="1"/>
  <c r="F130" i="4"/>
  <c r="F125" i="4" s="1"/>
  <c r="F81" i="4" s="1"/>
  <c r="H130" i="4"/>
  <c r="H125" i="4" s="1"/>
  <c r="H81" i="4" s="1"/>
  <c r="H57" i="4" s="1"/>
  <c r="H274" i="4" s="1"/>
  <c r="H448" i="5"/>
  <c r="H449" i="5" s="1"/>
  <c r="C25" i="9"/>
  <c r="D274" i="4"/>
  <c r="B10" i="8" s="1"/>
  <c r="G14" i="3"/>
  <c r="G13" i="3" s="1"/>
  <c r="G16" i="3" s="1"/>
  <c r="E102" i="5"/>
  <c r="B27" i="9" s="1"/>
  <c r="B26" i="9" s="1"/>
  <c r="E602" i="5"/>
  <c r="C10" i="8"/>
  <c r="E8" i="5"/>
  <c r="E448" i="5"/>
  <c r="B31" i="9" s="1"/>
  <c r="B30" i="9" s="1"/>
  <c r="F57" i="4" l="1"/>
  <c r="F274" i="4" s="1"/>
  <c r="D5" i="6"/>
  <c r="H25" i="3"/>
  <c r="G31" i="3"/>
  <c r="H30" i="3" s="1"/>
  <c r="G25" i="3"/>
  <c r="G38" i="3"/>
  <c r="G40" i="3" s="1"/>
  <c r="H37" i="3" s="1"/>
  <c r="B13" i="8"/>
  <c r="B14" i="8"/>
  <c r="B15" i="8"/>
  <c r="C14" i="8"/>
  <c r="C15" i="8"/>
  <c r="C13" i="8"/>
  <c r="B25" i="9"/>
  <c r="I37" i="3" l="1"/>
  <c r="E284" i="4"/>
  <c r="E282" i="4" s="1"/>
  <c r="E281" i="4" s="1"/>
  <c r="E280" i="4" s="1"/>
  <c r="B12" i="8"/>
  <c r="B11" i="8" s="1"/>
  <c r="C12" i="8"/>
  <c r="C11" i="8" s="1"/>
  <c r="F167" i="6" l="1"/>
  <c r="F166" i="6" s="1"/>
  <c r="F165" i="6" s="1"/>
  <c r="G167" i="6"/>
  <c r="G166" i="6" s="1"/>
  <c r="G165" i="6" s="1"/>
  <c r="E167" i="6"/>
  <c r="E166" i="6" s="1"/>
  <c r="F300" i="6"/>
  <c r="F299" i="6" s="1"/>
  <c r="G300" i="6"/>
  <c r="G299" i="6" s="1"/>
  <c r="F278" i="6"/>
  <c r="G278" i="6"/>
  <c r="F270" i="6"/>
  <c r="G270" i="6"/>
  <c r="F254" i="6"/>
  <c r="G254" i="6"/>
  <c r="F252" i="6"/>
  <c r="G252" i="6"/>
  <c r="F220" i="6"/>
  <c r="G220" i="6"/>
  <c r="G238" i="6" l="1"/>
  <c r="G265" i="6"/>
  <c r="F265" i="6"/>
  <c r="G251" i="6"/>
  <c r="F251" i="6"/>
  <c r="F238" i="6"/>
  <c r="F237" i="6" l="1"/>
  <c r="G237" i="6"/>
  <c r="F589" i="6"/>
  <c r="G589" i="6"/>
  <c r="F587" i="6"/>
  <c r="G587" i="6"/>
  <c r="F582" i="6"/>
  <c r="G582" i="6"/>
  <c r="F580" i="6"/>
  <c r="G580" i="6"/>
  <c r="E582" i="6"/>
  <c r="E580" i="6"/>
  <c r="E587" i="6"/>
  <c r="E589" i="6"/>
  <c r="F563" i="6"/>
  <c r="F562" i="6" s="1"/>
  <c r="G563" i="6"/>
  <c r="G562" i="6" s="1"/>
  <c r="E563" i="6"/>
  <c r="E562" i="6" s="1"/>
  <c r="G586" i="6" l="1"/>
  <c r="E575" i="6"/>
  <c r="E586" i="6"/>
  <c r="F586" i="6"/>
  <c r="G575" i="6"/>
  <c r="F575" i="6"/>
  <c r="F565" i="6"/>
  <c r="G565" i="6"/>
  <c r="E565" i="6"/>
  <c r="F572" i="6"/>
  <c r="F571" i="6" s="1"/>
  <c r="G572" i="6"/>
  <c r="G571" i="6" s="1"/>
  <c r="E572" i="6"/>
  <c r="E571" i="6" s="1"/>
  <c r="F512" i="6"/>
  <c r="F511" i="6" s="1"/>
  <c r="G512" i="6"/>
  <c r="G511" i="6" s="1"/>
  <c r="F507" i="6"/>
  <c r="F506" i="6" s="1"/>
  <c r="G507" i="6"/>
  <c r="G506" i="6" s="1"/>
  <c r="E507" i="6"/>
  <c r="E506" i="6" s="1"/>
  <c r="E512" i="6"/>
  <c r="E511" i="6" s="1"/>
  <c r="E488" i="6"/>
  <c r="E486" i="6"/>
  <c r="E479" i="6"/>
  <c r="F500" i="6"/>
  <c r="F499" i="6" s="1"/>
  <c r="G500" i="6"/>
  <c r="G499" i="6" s="1"/>
  <c r="E500" i="6"/>
  <c r="E499" i="6" s="1"/>
  <c r="E498" i="6" s="1"/>
  <c r="E467" i="6"/>
  <c r="E461" i="6"/>
  <c r="F486" i="6"/>
  <c r="G486" i="6"/>
  <c r="F488" i="6"/>
  <c r="G488" i="6"/>
  <c r="F479" i="6"/>
  <c r="G479" i="6"/>
  <c r="F461" i="6"/>
  <c r="G461" i="6"/>
  <c r="F467" i="6"/>
  <c r="G467" i="6"/>
  <c r="F431" i="6"/>
  <c r="F428" i="6" s="1"/>
  <c r="G431" i="6"/>
  <c r="G428" i="6" s="1"/>
  <c r="E431" i="6"/>
  <c r="E428" i="6" s="1"/>
  <c r="F395" i="6"/>
  <c r="G395" i="6"/>
  <c r="E395" i="6"/>
  <c r="F360" i="6"/>
  <c r="F359" i="6" s="1"/>
  <c r="G360" i="6"/>
  <c r="G359" i="6" s="1"/>
  <c r="F353" i="6"/>
  <c r="F352" i="6" s="1"/>
  <c r="G353" i="6"/>
  <c r="G352" i="6" s="1"/>
  <c r="E360" i="6"/>
  <c r="E359" i="6" s="1"/>
  <c r="E353" i="6"/>
  <c r="E352" i="6" s="1"/>
  <c r="E300" i="6"/>
  <c r="E299" i="6" s="1"/>
  <c r="E254" i="6"/>
  <c r="E278" i="6"/>
  <c r="E270" i="6"/>
  <c r="E252" i="6"/>
  <c r="F235" i="6"/>
  <c r="F234" i="6" s="1"/>
  <c r="G235" i="6"/>
  <c r="G234" i="6" s="1"/>
  <c r="E235" i="6"/>
  <c r="E234" i="6" s="1"/>
  <c r="F226" i="6"/>
  <c r="G226" i="6"/>
  <c r="E226" i="6"/>
  <c r="F224" i="6"/>
  <c r="F219" i="6" s="1"/>
  <c r="G224" i="6"/>
  <c r="G219" i="6" s="1"/>
  <c r="E224" i="6"/>
  <c r="E220" i="6"/>
  <c r="F212" i="6"/>
  <c r="F211" i="6" s="1"/>
  <c r="G212" i="6"/>
  <c r="G211" i="6" s="1"/>
  <c r="E212" i="6"/>
  <c r="E211" i="6" s="1"/>
  <c r="F206" i="6"/>
  <c r="G206" i="6"/>
  <c r="E206" i="6"/>
  <c r="F203" i="6"/>
  <c r="G203" i="6"/>
  <c r="E203" i="6"/>
  <c r="F201" i="6"/>
  <c r="G201" i="6"/>
  <c r="E201" i="6"/>
  <c r="E184" i="6"/>
  <c r="E183" i="6" s="1"/>
  <c r="F184" i="6"/>
  <c r="G184" i="6"/>
  <c r="F198" i="6"/>
  <c r="G198" i="6"/>
  <c r="E198" i="6"/>
  <c r="G195" i="6"/>
  <c r="F195" i="6"/>
  <c r="E195" i="6"/>
  <c r="F190" i="6"/>
  <c r="G190" i="6"/>
  <c r="E190" i="6"/>
  <c r="F179" i="6"/>
  <c r="G179" i="6"/>
  <c r="F171" i="6"/>
  <c r="G171" i="6"/>
  <c r="F176" i="6"/>
  <c r="F173" i="6" s="1"/>
  <c r="G176" i="6"/>
  <c r="G173" i="6" s="1"/>
  <c r="E171" i="6"/>
  <c r="E176" i="6"/>
  <c r="E173" i="6" s="1"/>
  <c r="F155" i="6"/>
  <c r="G155" i="6"/>
  <c r="F146" i="6"/>
  <c r="G146" i="6"/>
  <c r="F144" i="6"/>
  <c r="G144" i="6"/>
  <c r="F137" i="6"/>
  <c r="G137" i="6"/>
  <c r="F135" i="6"/>
  <c r="G135" i="6"/>
  <c r="F131" i="6"/>
  <c r="G131" i="6"/>
  <c r="F129" i="6"/>
  <c r="G129" i="6"/>
  <c r="F118" i="6"/>
  <c r="F117" i="6" s="1"/>
  <c r="G118" i="6"/>
  <c r="G117" i="6" s="1"/>
  <c r="F110" i="6"/>
  <c r="G110" i="6"/>
  <c r="F105" i="6"/>
  <c r="G105" i="6"/>
  <c r="F87" i="6"/>
  <c r="G87" i="6"/>
  <c r="F85" i="6"/>
  <c r="G85" i="6"/>
  <c r="F73" i="6"/>
  <c r="G73" i="6"/>
  <c r="F65" i="6"/>
  <c r="G65" i="6"/>
  <c r="F60" i="6"/>
  <c r="G60" i="6"/>
  <c r="F54" i="6"/>
  <c r="G54" i="6"/>
  <c r="F47" i="6"/>
  <c r="G47" i="6"/>
  <c r="F44" i="6"/>
  <c r="G44" i="6"/>
  <c r="F41" i="6"/>
  <c r="G41" i="6"/>
  <c r="F39" i="6"/>
  <c r="G39" i="6"/>
  <c r="E146" i="6"/>
  <c r="E144" i="6"/>
  <c r="E137" i="6"/>
  <c r="E135" i="6"/>
  <c r="E131" i="6"/>
  <c r="E129" i="6"/>
  <c r="E118" i="6"/>
  <c r="E117" i="6" s="1"/>
  <c r="E110" i="6"/>
  <c r="E105" i="6"/>
  <c r="E85" i="6"/>
  <c r="E73" i="6"/>
  <c r="E60" i="6"/>
  <c r="E54" i="6"/>
  <c r="E44" i="6"/>
  <c r="E41" i="6"/>
  <c r="E39" i="6"/>
  <c r="E28" i="6"/>
  <c r="E27" i="6" s="1"/>
  <c r="E19" i="6"/>
  <c r="E17" i="6"/>
  <c r="E15" i="6"/>
  <c r="E11" i="6"/>
  <c r="G48" i="2"/>
  <c r="E478" i="6" l="1"/>
  <c r="E474" i="6" s="1"/>
  <c r="E265" i="6"/>
  <c r="G478" i="6"/>
  <c r="G474" i="6" s="1"/>
  <c r="F478" i="6"/>
  <c r="F474" i="6" s="1"/>
  <c r="E251" i="6"/>
  <c r="E150" i="6"/>
  <c r="E149" i="6" s="1"/>
  <c r="G150" i="6"/>
  <c r="G149" i="6" s="1"/>
  <c r="F150" i="6"/>
  <c r="F149" i="6" s="1"/>
  <c r="F33" i="6"/>
  <c r="E10" i="6"/>
  <c r="E9" i="6" s="1"/>
  <c r="G33" i="6"/>
  <c r="E469" i="6"/>
  <c r="G218" i="6"/>
  <c r="F218" i="6"/>
  <c r="F460" i="6"/>
  <c r="G460" i="6"/>
  <c r="E460" i="6"/>
  <c r="E219" i="6"/>
  <c r="E218" i="6" s="1"/>
  <c r="G189" i="6"/>
  <c r="E189" i="6"/>
  <c r="F189" i="6"/>
  <c r="G170" i="6"/>
  <c r="F170" i="6"/>
  <c r="E128" i="6"/>
  <c r="G128" i="6"/>
  <c r="F128" i="6"/>
  <c r="G75" i="6"/>
  <c r="F75" i="6"/>
  <c r="G46" i="6"/>
  <c r="F46" i="6"/>
  <c r="E75" i="6"/>
  <c r="E46" i="6"/>
  <c r="E33" i="6"/>
  <c r="E237" i="6" l="1"/>
  <c r="E32" i="6"/>
  <c r="G32" i="6"/>
  <c r="F32" i="6"/>
  <c r="G47" i="2"/>
  <c r="G46" i="2" s="1"/>
  <c r="H47" i="2"/>
  <c r="H46" i="2" s="1"/>
  <c r="I47" i="2"/>
  <c r="I46" i="2" s="1"/>
  <c r="H76" i="2" l="1"/>
  <c r="H75" i="2" s="1"/>
  <c r="I76" i="2"/>
  <c r="I75" i="2" s="1"/>
  <c r="G76" i="2"/>
  <c r="H74" i="2"/>
  <c r="H73" i="2" s="1"/>
  <c r="H72" i="2" s="1"/>
  <c r="I74" i="2"/>
  <c r="I73" i="2" s="1"/>
  <c r="I72" i="2" s="1"/>
  <c r="G74" i="2"/>
  <c r="G73" i="2" s="1"/>
  <c r="G72" i="2" s="1"/>
  <c r="H70" i="2"/>
  <c r="I70" i="2"/>
  <c r="G70" i="2"/>
  <c r="H69" i="2"/>
  <c r="H68" i="2" s="1"/>
  <c r="I69" i="2"/>
  <c r="I68" i="2" s="1"/>
  <c r="G69" i="2"/>
  <c r="G68" i="2" s="1"/>
  <c r="H63" i="2"/>
  <c r="H61" i="2" s="1"/>
  <c r="I63" i="2"/>
  <c r="I61" i="2" s="1"/>
  <c r="G63" i="2"/>
  <c r="G61" i="2" s="1"/>
  <c r="H57" i="2"/>
  <c r="I57" i="2"/>
  <c r="G57" i="2"/>
  <c r="H37" i="2"/>
  <c r="H36" i="2" s="1"/>
  <c r="H35" i="2" s="1"/>
  <c r="H34" i="2" s="1"/>
  <c r="I37" i="2"/>
  <c r="I36" i="2" s="1"/>
  <c r="I35" i="2" s="1"/>
  <c r="I34" i="2" s="1"/>
  <c r="G37" i="2"/>
  <c r="G36" i="2" s="1"/>
  <c r="G35" i="2" s="1"/>
  <c r="G34" i="2" s="1"/>
  <c r="H27" i="2"/>
  <c r="I27" i="2"/>
  <c r="G27" i="2"/>
  <c r="H23" i="2"/>
  <c r="H22" i="2" s="1"/>
  <c r="H21" i="2" s="1"/>
  <c r="I23" i="2"/>
  <c r="I22" i="2" s="1"/>
  <c r="I21" i="2" s="1"/>
  <c r="G23" i="2"/>
  <c r="G22" i="2" s="1"/>
  <c r="G21" i="2" s="1"/>
  <c r="H20" i="2"/>
  <c r="H19" i="2" s="1"/>
  <c r="H18" i="2" s="1"/>
  <c r="I20" i="2"/>
  <c r="I19" i="2" s="1"/>
  <c r="I18" i="2" s="1"/>
  <c r="G20" i="2"/>
  <c r="G498" i="6"/>
  <c r="G469" i="6" s="1"/>
  <c r="F163" i="6"/>
  <c r="F162" i="6" s="1"/>
  <c r="G163" i="6"/>
  <c r="G162" i="6" s="1"/>
  <c r="F183" i="6"/>
  <c r="G183" i="6"/>
  <c r="F186" i="6"/>
  <c r="G186" i="6"/>
  <c r="F205" i="6"/>
  <c r="G205" i="6"/>
  <c r="F208" i="6"/>
  <c r="G208" i="6"/>
  <c r="F214" i="6"/>
  <c r="F210" i="6" s="1"/>
  <c r="G214" i="6"/>
  <c r="G210" i="6" s="1"/>
  <c r="F311" i="6"/>
  <c r="G311" i="6"/>
  <c r="F320" i="6"/>
  <c r="F319" i="6" s="1"/>
  <c r="G320" i="6"/>
  <c r="G319" i="6" s="1"/>
  <c r="F323" i="6"/>
  <c r="G323" i="6"/>
  <c r="F329" i="6"/>
  <c r="G329" i="6"/>
  <c r="F333" i="6"/>
  <c r="F332" i="6" s="1"/>
  <c r="G333" i="6"/>
  <c r="G332" i="6" s="1"/>
  <c r="F336" i="6"/>
  <c r="G336" i="6"/>
  <c r="F338" i="6"/>
  <c r="G338" i="6"/>
  <c r="F345" i="6"/>
  <c r="G345" i="6"/>
  <c r="F347" i="6"/>
  <c r="G347" i="6"/>
  <c r="F357" i="6"/>
  <c r="F351" i="6" s="1"/>
  <c r="G357" i="6"/>
  <c r="G351" i="6" s="1"/>
  <c r="F363" i="6"/>
  <c r="F362" i="6" s="1"/>
  <c r="G363" i="6"/>
  <c r="G362" i="6" s="1"/>
  <c r="F374" i="6"/>
  <c r="F373" i="6" s="1"/>
  <c r="G374" i="6"/>
  <c r="G373" i="6" s="1"/>
  <c r="F378" i="6"/>
  <c r="F377" i="6" s="1"/>
  <c r="G378" i="6"/>
  <c r="G377" i="6" s="1"/>
  <c r="F382" i="6"/>
  <c r="G382" i="6"/>
  <c r="F400" i="6"/>
  <c r="F394" i="6" s="1"/>
  <c r="F393" i="6" s="1"/>
  <c r="G400" i="6"/>
  <c r="G394" i="6" s="1"/>
  <c r="G393" i="6" s="1"/>
  <c r="F407" i="6"/>
  <c r="F406" i="6" s="1"/>
  <c r="F405" i="6" s="1"/>
  <c r="G407" i="6"/>
  <c r="G406" i="6" s="1"/>
  <c r="G405" i="6" s="1"/>
  <c r="F426" i="6"/>
  <c r="G426" i="6"/>
  <c r="F443" i="6"/>
  <c r="G443" i="6"/>
  <c r="F446" i="6"/>
  <c r="G446" i="6"/>
  <c r="F448" i="6"/>
  <c r="G448" i="6"/>
  <c r="F452" i="6"/>
  <c r="F451" i="6" s="1"/>
  <c r="G452" i="6"/>
  <c r="G451" i="6" s="1"/>
  <c r="F498" i="6"/>
  <c r="F469" i="6" s="1"/>
  <c r="F509" i="6"/>
  <c r="F505" i="6" s="1"/>
  <c r="G509" i="6"/>
  <c r="G505" i="6" s="1"/>
  <c r="F515" i="6"/>
  <c r="G515" i="6"/>
  <c r="F517" i="6"/>
  <c r="G517" i="6"/>
  <c r="F519" i="6"/>
  <c r="G519" i="6"/>
  <c r="F584" i="6"/>
  <c r="F574" i="6" s="1"/>
  <c r="G584" i="6"/>
  <c r="G574" i="6" s="1"/>
  <c r="F678" i="6"/>
  <c r="G678" i="6"/>
  <c r="F681" i="6"/>
  <c r="G681" i="6"/>
  <c r="F684" i="6"/>
  <c r="G684" i="6"/>
  <c r="F686" i="6"/>
  <c r="G686" i="6"/>
  <c r="F699" i="6"/>
  <c r="F698" i="6" s="1"/>
  <c r="G699" i="6"/>
  <c r="G698" i="6" s="1"/>
  <c r="H56" i="2" l="1"/>
  <c r="H52" i="2" s="1"/>
  <c r="G56" i="2"/>
  <c r="G52" i="2" s="1"/>
  <c r="I56" i="2"/>
  <c r="I52" i="2" s="1"/>
  <c r="G392" i="6"/>
  <c r="F392" i="6"/>
  <c r="F442" i="6"/>
  <c r="G442" i="6"/>
  <c r="G441" i="6" s="1"/>
  <c r="F39" i="9"/>
  <c r="F38" i="9" s="1"/>
  <c r="E39" i="9"/>
  <c r="E38" i="9" s="1"/>
  <c r="G350" i="6"/>
  <c r="F350" i="6"/>
  <c r="F188" i="6"/>
  <c r="G188" i="6"/>
  <c r="G683" i="6"/>
  <c r="G322" i="6"/>
  <c r="G217" i="6" s="1"/>
  <c r="F683" i="6"/>
  <c r="F182" i="6"/>
  <c r="G677" i="6"/>
  <c r="G676" i="6" s="1"/>
  <c r="G675" i="6" s="1"/>
  <c r="G674" i="6" s="1"/>
  <c r="G514" i="6"/>
  <c r="G504" i="6" s="1"/>
  <c r="G376" i="6"/>
  <c r="G182" i="6"/>
  <c r="F677" i="6"/>
  <c r="F676" i="6" s="1"/>
  <c r="F675" i="6" s="1"/>
  <c r="F674" i="6" s="1"/>
  <c r="F514" i="6"/>
  <c r="F504" i="6" s="1"/>
  <c r="F376" i="6"/>
  <c r="G67" i="2"/>
  <c r="G66" i="2" s="1"/>
  <c r="H67" i="2"/>
  <c r="H66" i="2" s="1"/>
  <c r="I67" i="2"/>
  <c r="I66" i="2" s="1"/>
  <c r="G19" i="2"/>
  <c r="G18" i="2" s="1"/>
  <c r="G561" i="6"/>
  <c r="F561" i="6"/>
  <c r="G425" i="6"/>
  <c r="G424" i="6" s="1"/>
  <c r="F425" i="6"/>
  <c r="F424" i="6" s="1"/>
  <c r="F322" i="6"/>
  <c r="F217" i="6" s="1"/>
  <c r="F335" i="6"/>
  <c r="F331" i="6" s="1"/>
  <c r="G335" i="6"/>
  <c r="G331" i="6" s="1"/>
  <c r="F16" i="8"/>
  <c r="E16" i="8"/>
  <c r="D16" i="8"/>
  <c r="E699" i="6"/>
  <c r="E698" i="6" s="1"/>
  <c r="E684" i="6"/>
  <c r="E683" i="6" s="1"/>
  <c r="E681" i="6"/>
  <c r="E678" i="6"/>
  <c r="E584" i="6"/>
  <c r="E574" i="6" s="1"/>
  <c r="E519" i="6"/>
  <c r="E517" i="6"/>
  <c r="E515" i="6"/>
  <c r="E509" i="6"/>
  <c r="E505" i="6" s="1"/>
  <c r="E452" i="6"/>
  <c r="E451" i="6" s="1"/>
  <c r="E448" i="6"/>
  <c r="E446" i="6"/>
  <c r="E443" i="6"/>
  <c r="E426" i="6"/>
  <c r="E425" i="6" s="1"/>
  <c r="E407" i="6"/>
  <c r="E406" i="6" s="1"/>
  <c r="E405" i="6" s="1"/>
  <c r="E400" i="6"/>
  <c r="E394" i="6" s="1"/>
  <c r="E393" i="6" s="1"/>
  <c r="E382" i="6"/>
  <c r="E378" i="6"/>
  <c r="E377" i="6" s="1"/>
  <c r="E374" i="6"/>
  <c r="E373" i="6" s="1"/>
  <c r="E363" i="6"/>
  <c r="E362" i="6" s="1"/>
  <c r="E357" i="6"/>
  <c r="E351" i="6" s="1"/>
  <c r="E347" i="6"/>
  <c r="E345" i="6"/>
  <c r="E338" i="6"/>
  <c r="E336" i="6"/>
  <c r="E333" i="6"/>
  <c r="E332" i="6" s="1"/>
  <c r="E329" i="6"/>
  <c r="E323" i="6"/>
  <c r="E320" i="6"/>
  <c r="E319" i="6" s="1"/>
  <c r="E214" i="6"/>
  <c r="E210" i="6" s="1"/>
  <c r="E208" i="6"/>
  <c r="E205" i="6"/>
  <c r="E186" i="6"/>
  <c r="E182" i="6" s="1"/>
  <c r="E179" i="6"/>
  <c r="E170" i="6" s="1"/>
  <c r="E165" i="6"/>
  <c r="E163" i="6"/>
  <c r="E162" i="6" s="1"/>
  <c r="F49" i="4"/>
  <c r="F48" i="4" s="1"/>
  <c r="H48" i="4"/>
  <c r="H47" i="4" s="1"/>
  <c r="H46" i="4" s="1"/>
  <c r="G48" i="4"/>
  <c r="G47" i="4" s="1"/>
  <c r="F45" i="4"/>
  <c r="F44" i="4" s="1"/>
  <c r="F43" i="4" s="1"/>
  <c r="H44" i="4"/>
  <c r="H43" i="4" s="1"/>
  <c r="G44" i="4"/>
  <c r="G43" i="4" s="1"/>
  <c r="F42" i="4"/>
  <c r="F41" i="4" s="1"/>
  <c r="F40" i="4" s="1"/>
  <c r="H41" i="4"/>
  <c r="H40" i="4" s="1"/>
  <c r="G41" i="4"/>
  <c r="G40" i="4" s="1"/>
  <c r="F39" i="4"/>
  <c r="H38" i="4"/>
  <c r="H37" i="4" s="1"/>
  <c r="F38" i="4"/>
  <c r="G37" i="4"/>
  <c r="F36" i="4"/>
  <c r="F35" i="4"/>
  <c r="H34" i="4"/>
  <c r="G34" i="4"/>
  <c r="G32" i="4"/>
  <c r="G31" i="4" s="1"/>
  <c r="G30" i="4" s="1"/>
  <c r="F32" i="4"/>
  <c r="F31" i="4" s="1"/>
  <c r="F30" i="4" s="1"/>
  <c r="H31" i="4"/>
  <c r="H30" i="4" s="1"/>
  <c r="G29" i="4"/>
  <c r="G26" i="4" s="1"/>
  <c r="F29" i="4"/>
  <c r="F28" i="4"/>
  <c r="F27" i="4"/>
  <c r="H26" i="4"/>
  <c r="F25" i="4"/>
  <c r="F24" i="4" s="1"/>
  <c r="H24" i="4"/>
  <c r="G24" i="4"/>
  <c r="F23" i="4"/>
  <c r="F22" i="4"/>
  <c r="H21" i="4"/>
  <c r="G21" i="4"/>
  <c r="G20" i="4"/>
  <c r="G19" i="4" s="1"/>
  <c r="F20" i="4"/>
  <c r="F19" i="4" s="1"/>
  <c r="H19" i="4"/>
  <c r="F18" i="4"/>
  <c r="F17" i="4" s="1"/>
  <c r="H17" i="4"/>
  <c r="G17" i="4"/>
  <c r="F15" i="4"/>
  <c r="F14" i="4" s="1"/>
  <c r="H14" i="4"/>
  <c r="G14" i="4"/>
  <c r="H12" i="4"/>
  <c r="G12" i="4"/>
  <c r="F12" i="4"/>
  <c r="G75" i="2"/>
  <c r="I60" i="2"/>
  <c r="H60" i="2"/>
  <c r="G60" i="2"/>
  <c r="I45" i="2"/>
  <c r="G45" i="2"/>
  <c r="H45" i="2"/>
  <c r="I31" i="2"/>
  <c r="H31" i="2"/>
  <c r="G31" i="2"/>
  <c r="I26" i="2"/>
  <c r="H26" i="2"/>
  <c r="G26" i="2"/>
  <c r="I373" i="1"/>
  <c r="H373" i="1"/>
  <c r="I371" i="1"/>
  <c r="H371" i="1"/>
  <c r="H370" i="1" s="1"/>
  <c r="H369" i="1" s="1"/>
  <c r="G371" i="1"/>
  <c r="G370" i="1" s="1"/>
  <c r="G369" i="1" s="1"/>
  <c r="I367" i="1"/>
  <c r="H367" i="1"/>
  <c r="G367" i="1"/>
  <c r="I365" i="1"/>
  <c r="H365" i="1"/>
  <c r="G365" i="1"/>
  <c r="I362" i="1"/>
  <c r="H362" i="1"/>
  <c r="G362" i="1"/>
  <c r="I355" i="1"/>
  <c r="I354" i="1" s="1"/>
  <c r="I353" i="1" s="1"/>
  <c r="H355" i="1"/>
  <c r="H354" i="1" s="1"/>
  <c r="H353" i="1" s="1"/>
  <c r="G355" i="1"/>
  <c r="G354" i="1" s="1"/>
  <c r="G353" i="1" s="1"/>
  <c r="I351" i="1"/>
  <c r="H351" i="1"/>
  <c r="G351" i="1"/>
  <c r="I348" i="1"/>
  <c r="H348" i="1"/>
  <c r="G348" i="1"/>
  <c r="G347" i="1" s="1"/>
  <c r="G346" i="1" s="1"/>
  <c r="I343" i="1"/>
  <c r="I342" i="1" s="1"/>
  <c r="I341" i="1" s="1"/>
  <c r="H343" i="1"/>
  <c r="H342" i="1" s="1"/>
  <c r="H341" i="1" s="1"/>
  <c r="G343" i="1"/>
  <c r="G342" i="1" s="1"/>
  <c r="G341" i="1" s="1"/>
  <c r="I339" i="1"/>
  <c r="H339" i="1"/>
  <c r="G339" i="1"/>
  <c r="I337" i="1"/>
  <c r="H337" i="1"/>
  <c r="G337" i="1"/>
  <c r="I334" i="1"/>
  <c r="H334" i="1"/>
  <c r="G334" i="1"/>
  <c r="I330" i="1"/>
  <c r="H330" i="1"/>
  <c r="G330" i="1"/>
  <c r="I328" i="1"/>
  <c r="H328" i="1"/>
  <c r="G328" i="1"/>
  <c r="I325" i="1"/>
  <c r="H325" i="1"/>
  <c r="G325" i="1"/>
  <c r="I320" i="1"/>
  <c r="I319" i="1" s="1"/>
  <c r="I316" i="1"/>
  <c r="H316" i="1"/>
  <c r="G316" i="1"/>
  <c r="I310" i="1"/>
  <c r="H310" i="1"/>
  <c r="G310" i="1"/>
  <c r="I305" i="1"/>
  <c r="H305" i="1"/>
  <c r="G305" i="1"/>
  <c r="I303" i="1"/>
  <c r="H303" i="1"/>
  <c r="G303" i="1"/>
  <c r="I300" i="1"/>
  <c r="H300" i="1"/>
  <c r="G300" i="1"/>
  <c r="H297" i="1"/>
  <c r="H296" i="1" s="1"/>
  <c r="I296" i="1"/>
  <c r="I295" i="1" s="1"/>
  <c r="G296" i="1"/>
  <c r="I291" i="1"/>
  <c r="H291" i="1"/>
  <c r="G291" i="1"/>
  <c r="I289" i="1"/>
  <c r="H286" i="1"/>
  <c r="H285" i="1"/>
  <c r="H283" i="1"/>
  <c r="I282" i="1"/>
  <c r="G282" i="1"/>
  <c r="I280" i="1"/>
  <c r="H280" i="1"/>
  <c r="G280" i="1"/>
  <c r="I277" i="1"/>
  <c r="I276" i="1" s="1"/>
  <c r="H277" i="1"/>
  <c r="H276" i="1" s="1"/>
  <c r="G277" i="1"/>
  <c r="G276" i="1" s="1"/>
  <c r="I272" i="1"/>
  <c r="H272" i="1"/>
  <c r="G272" i="1"/>
  <c r="I270" i="1"/>
  <c r="H270" i="1"/>
  <c r="G270" i="1"/>
  <c r="I267" i="1"/>
  <c r="I266" i="1" s="1"/>
  <c r="H267" i="1"/>
  <c r="H266" i="1" s="1"/>
  <c r="G267" i="1"/>
  <c r="G266" i="1" s="1"/>
  <c r="I261" i="1"/>
  <c r="I260" i="1" s="1"/>
  <c r="H261" i="1"/>
  <c r="H260" i="1" s="1"/>
  <c r="G261" i="1"/>
  <c r="G260" i="1" s="1"/>
  <c r="H255" i="1"/>
  <c r="H252" i="1" s="1"/>
  <c r="I252" i="1"/>
  <c r="G252" i="1"/>
  <c r="H251" i="1"/>
  <c r="H245" i="1"/>
  <c r="H244" i="1"/>
  <c r="I242" i="1"/>
  <c r="G242" i="1"/>
  <c r="H240" i="1"/>
  <c r="H239" i="1"/>
  <c r="H238" i="1"/>
  <c r="H237" i="1"/>
  <c r="H236" i="1"/>
  <c r="I235" i="1"/>
  <c r="G235" i="1"/>
  <c r="H232" i="1"/>
  <c r="H230" i="1" s="1"/>
  <c r="I230" i="1"/>
  <c r="G230" i="1"/>
  <c r="H228" i="1"/>
  <c r="H227" i="1" s="1"/>
  <c r="I227" i="1"/>
  <c r="G227" i="1"/>
  <c r="H226" i="1"/>
  <c r="H225" i="1" s="1"/>
  <c r="I225" i="1"/>
  <c r="G225" i="1"/>
  <c r="H221" i="1"/>
  <c r="H220" i="1" s="1"/>
  <c r="I220" i="1"/>
  <c r="G220" i="1"/>
  <c r="I215" i="1"/>
  <c r="H215" i="1"/>
  <c r="G215" i="1"/>
  <c r="H214" i="1"/>
  <c r="H213" i="1" s="1"/>
  <c r="H212" i="1" s="1"/>
  <c r="I213" i="1"/>
  <c r="I212" i="1" s="1"/>
  <c r="G213" i="1"/>
  <c r="I210" i="1"/>
  <c r="H210" i="1"/>
  <c r="G210" i="1"/>
  <c r="I208" i="1"/>
  <c r="H208" i="1"/>
  <c r="G208" i="1"/>
  <c r="I201" i="1"/>
  <c r="H201" i="1"/>
  <c r="G201" i="1"/>
  <c r="I198" i="1"/>
  <c r="H198" i="1"/>
  <c r="G198" i="1"/>
  <c r="G195" i="1" s="1"/>
  <c r="I196" i="1"/>
  <c r="H196" i="1"/>
  <c r="G196" i="1"/>
  <c r="I189" i="1"/>
  <c r="H189" i="1"/>
  <c r="G189" i="1"/>
  <c r="I187" i="1"/>
  <c r="H187" i="1"/>
  <c r="G187" i="1"/>
  <c r="I184" i="1"/>
  <c r="I183" i="1" s="1"/>
  <c r="H184" i="1"/>
  <c r="H183" i="1" s="1"/>
  <c r="G184" i="1"/>
  <c r="G183" i="1" s="1"/>
  <c r="I180" i="1"/>
  <c r="I179" i="1" s="1"/>
  <c r="H180" i="1"/>
  <c r="H179" i="1" s="1"/>
  <c r="G180" i="1"/>
  <c r="G179" i="1" s="1"/>
  <c r="I175" i="1"/>
  <c r="I174" i="1" s="1"/>
  <c r="H175" i="1"/>
  <c r="H174" i="1" s="1"/>
  <c r="G175" i="1"/>
  <c r="G174" i="1" s="1"/>
  <c r="I166" i="1"/>
  <c r="H166" i="1"/>
  <c r="G166" i="1"/>
  <c r="I164" i="1"/>
  <c r="H164" i="1"/>
  <c r="G164" i="1"/>
  <c r="I154" i="1"/>
  <c r="H154" i="1"/>
  <c r="G154" i="1"/>
  <c r="I147" i="1"/>
  <c r="H147" i="1"/>
  <c r="G147" i="1"/>
  <c r="I142" i="1"/>
  <c r="H142" i="1"/>
  <c r="G142" i="1"/>
  <c r="I139" i="1"/>
  <c r="H139" i="1"/>
  <c r="G139" i="1"/>
  <c r="I137" i="1"/>
  <c r="H137" i="1"/>
  <c r="G137" i="1"/>
  <c r="I132" i="1"/>
  <c r="H132" i="1"/>
  <c r="G132" i="1"/>
  <c r="D22" i="9"/>
  <c r="F21" i="9"/>
  <c r="F20" i="9" s="1"/>
  <c r="E21" i="9"/>
  <c r="E20" i="9" s="1"/>
  <c r="D21" i="9"/>
  <c r="D20" i="9" s="1"/>
  <c r="F441" i="6" l="1"/>
  <c r="G560" i="6"/>
  <c r="F560" i="6"/>
  <c r="F503" i="6"/>
  <c r="F502" i="6" s="1"/>
  <c r="G503" i="6"/>
  <c r="G502" i="6" s="1"/>
  <c r="H51" i="2"/>
  <c r="G51" i="2"/>
  <c r="I51" i="2"/>
  <c r="H11" i="2"/>
  <c r="E442" i="6"/>
  <c r="I11" i="2"/>
  <c r="G11" i="2"/>
  <c r="F216" i="6"/>
  <c r="G216" i="6"/>
  <c r="E8" i="6"/>
  <c r="E41" i="9"/>
  <c r="E40" i="9" s="1"/>
  <c r="F41" i="9"/>
  <c r="F40" i="9" s="1"/>
  <c r="E188" i="6"/>
  <c r="E181" i="6" s="1"/>
  <c r="G411" i="6"/>
  <c r="F411" i="6"/>
  <c r="F349" i="6"/>
  <c r="G181" i="6"/>
  <c r="G732" i="6" s="1"/>
  <c r="G349" i="6"/>
  <c r="E424" i="6"/>
  <c r="K15" i="3"/>
  <c r="J15" i="3"/>
  <c r="E376" i="6"/>
  <c r="F181" i="6"/>
  <c r="F732" i="6" s="1"/>
  <c r="E350" i="6"/>
  <c r="E335" i="6"/>
  <c r="E331" i="6" s="1"/>
  <c r="E392" i="6"/>
  <c r="H347" i="1"/>
  <c r="H346" i="1" s="1"/>
  <c r="H360" i="1" s="1"/>
  <c r="G186" i="1"/>
  <c r="H295" i="1"/>
  <c r="H294" i="1" s="1"/>
  <c r="H322" i="1" s="1"/>
  <c r="H195" i="1"/>
  <c r="G219" i="1"/>
  <c r="H361" i="1"/>
  <c r="H375" i="1" s="1"/>
  <c r="I219" i="1"/>
  <c r="G212" i="1"/>
  <c r="H219" i="1"/>
  <c r="H186" i="1"/>
  <c r="I195" i="1"/>
  <c r="G200" i="1"/>
  <c r="G295" i="1"/>
  <c r="D5" i="9"/>
  <c r="G269" i="1"/>
  <c r="H141" i="1"/>
  <c r="E5" i="9"/>
  <c r="E4" i="9" s="1"/>
  <c r="G141" i="1"/>
  <c r="I229" i="1"/>
  <c r="G333" i="1"/>
  <c r="I347" i="1"/>
  <c r="I346" i="1" s="1"/>
  <c r="I360" i="1" s="1"/>
  <c r="H131" i="1"/>
  <c r="H235" i="1"/>
  <c r="I302" i="1"/>
  <c r="I294" i="1" s="1"/>
  <c r="I322" i="1" s="1"/>
  <c r="I279" i="1"/>
  <c r="I275" i="1" s="1"/>
  <c r="I324" i="1"/>
  <c r="G324" i="1"/>
  <c r="I370" i="1"/>
  <c r="I369" i="1" s="1"/>
  <c r="G360" i="1"/>
  <c r="I131" i="1"/>
  <c r="I186" i="1"/>
  <c r="H282" i="1"/>
  <c r="H279" i="1" s="1"/>
  <c r="H275" i="1" s="1"/>
  <c r="I361" i="1"/>
  <c r="G131" i="1"/>
  <c r="H200" i="1"/>
  <c r="G229" i="1"/>
  <c r="I269" i="1"/>
  <c r="I333" i="1"/>
  <c r="H269" i="1"/>
  <c r="H333" i="1"/>
  <c r="I141" i="1"/>
  <c r="I200" i="1"/>
  <c r="H242" i="1"/>
  <c r="G279" i="1"/>
  <c r="G275" i="1" s="1"/>
  <c r="G302" i="1"/>
  <c r="H324" i="1"/>
  <c r="G361" i="1"/>
  <c r="G375" i="1" s="1"/>
  <c r="K12" i="3"/>
  <c r="F21" i="4"/>
  <c r="F11" i="4" s="1"/>
  <c r="H11" i="4"/>
  <c r="F26" i="4"/>
  <c r="E514" i="6"/>
  <c r="E504" i="6" s="1"/>
  <c r="G46" i="4"/>
  <c r="G33" i="4"/>
  <c r="F37" i="4"/>
  <c r="H33" i="4"/>
  <c r="G11" i="4"/>
  <c r="F34" i="4"/>
  <c r="E322" i="6"/>
  <c r="E217" i="6" s="1"/>
  <c r="E561" i="6"/>
  <c r="E677" i="6"/>
  <c r="E676" i="6" s="1"/>
  <c r="F47" i="4"/>
  <c r="F46" i="4"/>
  <c r="I12" i="3"/>
  <c r="J12" i="3"/>
  <c r="D7" i="9"/>
  <c r="E560" i="6" l="1"/>
  <c r="G559" i="6"/>
  <c r="G558" i="6" s="1"/>
  <c r="F559" i="6"/>
  <c r="F558" i="6" s="1"/>
  <c r="E732" i="6"/>
  <c r="E503" i="6"/>
  <c r="H10" i="2"/>
  <c r="I10" i="2"/>
  <c r="E441" i="6"/>
  <c r="G10" i="2"/>
  <c r="G88" i="2" s="1"/>
  <c r="I194" i="1"/>
  <c r="E7" i="6"/>
  <c r="E675" i="6"/>
  <c r="E674" i="6" s="1"/>
  <c r="I15" i="3"/>
  <c r="F33" i="9"/>
  <c r="F32" i="9" s="1"/>
  <c r="F29" i="9"/>
  <c r="F28" i="9" s="1"/>
  <c r="E29" i="9"/>
  <c r="E28" i="9" s="1"/>
  <c r="D41" i="9"/>
  <c r="D40" i="9" s="1"/>
  <c r="E27" i="9"/>
  <c r="E26" i="9" s="1"/>
  <c r="I14" i="3"/>
  <c r="E411" i="6"/>
  <c r="E349" i="6"/>
  <c r="F27" i="9"/>
  <c r="F26" i="9" s="1"/>
  <c r="I323" i="1"/>
  <c r="I345" i="1" s="1"/>
  <c r="G194" i="1"/>
  <c r="G294" i="1"/>
  <c r="G322" i="1" s="1"/>
  <c r="G130" i="1"/>
  <c r="H229" i="1"/>
  <c r="H218" i="1" s="1"/>
  <c r="H293" i="1" s="1"/>
  <c r="G218" i="1"/>
  <c r="D4" i="9"/>
  <c r="I130" i="1"/>
  <c r="H130" i="1"/>
  <c r="H194" i="1"/>
  <c r="G323" i="1"/>
  <c r="G345" i="1" s="1"/>
  <c r="I218" i="1"/>
  <c r="I293" i="1" s="1"/>
  <c r="I375" i="1"/>
  <c r="H323" i="1"/>
  <c r="H345" i="1" s="1"/>
  <c r="H10" i="4"/>
  <c r="H51" i="4" s="1"/>
  <c r="G10" i="4"/>
  <c r="G51" i="4" s="1"/>
  <c r="D27" i="9"/>
  <c r="D26" i="9" s="1"/>
  <c r="F33" i="4"/>
  <c r="F10" i="4" s="1"/>
  <c r="F51" i="4" s="1"/>
  <c r="E731" i="6" l="1"/>
  <c r="E559" i="6"/>
  <c r="E558" i="6" s="1"/>
  <c r="E502" i="6"/>
  <c r="I217" i="1"/>
  <c r="G217" i="1"/>
  <c r="D33" i="9"/>
  <c r="E33" i="9"/>
  <c r="E32" i="9" s="1"/>
  <c r="E10" i="8"/>
  <c r="E13" i="8" s="1"/>
  <c r="K14" i="3"/>
  <c r="K13" i="3" s="1"/>
  <c r="I376" i="1"/>
  <c r="I378" i="1" s="1"/>
  <c r="I380" i="1" s="1"/>
  <c r="G376" i="1"/>
  <c r="H217" i="1"/>
  <c r="H376" i="1"/>
  <c r="G293" i="1"/>
  <c r="I11" i="3"/>
  <c r="I13" i="3"/>
  <c r="D10" i="8"/>
  <c r="D15" i="8" s="1"/>
  <c r="H88" i="2"/>
  <c r="J11" i="3"/>
  <c r="J10" i="3" s="1"/>
  <c r="I88" i="2"/>
  <c r="K11" i="3"/>
  <c r="K10" i="3" s="1"/>
  <c r="D29" i="9"/>
  <c r="D28" i="9" s="1"/>
  <c r="E216" i="6"/>
  <c r="E6" i="6" l="1"/>
  <c r="I10" i="3"/>
  <c r="I16" i="3" s="1"/>
  <c r="E733" i="6"/>
  <c r="E14" i="8"/>
  <c r="E15" i="8"/>
  <c r="D14" i="8"/>
  <c r="D13" i="8"/>
  <c r="J14" i="3"/>
  <c r="J13" i="3" s="1"/>
  <c r="J16" i="3" s="1"/>
  <c r="J25" i="3" s="1"/>
  <c r="K16" i="3"/>
  <c r="K25" i="3" s="1"/>
  <c r="K38" i="3" s="1"/>
  <c r="H284" i="4" s="1"/>
  <c r="H282" i="4" s="1"/>
  <c r="F10" i="8"/>
  <c r="F8" i="6"/>
  <c r="F731" i="6" s="1"/>
  <c r="F733" i="6" s="1"/>
  <c r="I25" i="3" l="1"/>
  <c r="I32" i="3" s="1"/>
  <c r="J30" i="3" s="1"/>
  <c r="F7" i="6"/>
  <c r="J38" i="3"/>
  <c r="G284" i="4" s="1"/>
  <c r="G282" i="4" s="1"/>
  <c r="E12" i="8"/>
  <c r="E11" i="8" s="1"/>
  <c r="D12" i="8"/>
  <c r="D11" i="8" s="1"/>
  <c r="F14" i="8"/>
  <c r="F13" i="8"/>
  <c r="F15" i="8"/>
  <c r="G8" i="6"/>
  <c r="G731" i="6" s="1"/>
  <c r="G733" i="6" s="1"/>
  <c r="F6" i="6" l="1"/>
  <c r="I38" i="3"/>
  <c r="G7" i="6"/>
  <c r="F12" i="8"/>
  <c r="F11" i="8" s="1"/>
  <c r="G6" i="6" l="1"/>
  <c r="J32" i="3"/>
  <c r="K30" i="3" s="1"/>
  <c r="I40" i="3"/>
  <c r="J37" i="3" s="1"/>
  <c r="J40" i="3" s="1"/>
  <c r="K37" i="3" s="1"/>
  <c r="H281" i="4" s="1"/>
  <c r="H280" i="4" s="1"/>
  <c r="F284" i="4"/>
  <c r="F282" i="4" s="1"/>
  <c r="F281" i="4" s="1"/>
  <c r="F280" i="4" s="1"/>
  <c r="G281" i="4"/>
  <c r="G280" i="4" s="1"/>
  <c r="D31" i="9"/>
  <c r="D30" i="9" s="1"/>
  <c r="F31" i="9"/>
  <c r="F30" i="9" s="1"/>
  <c r="F25" i="9" s="1"/>
  <c r="E31" i="9"/>
  <c r="E30" i="9" s="1"/>
  <c r="E25" i="9" s="1"/>
  <c r="D39" i="9"/>
  <c r="D38" i="9" s="1"/>
  <c r="K32" i="3" l="1"/>
  <c r="K40" i="3"/>
  <c r="F5" i="9" l="1"/>
  <c r="F4" i="9" s="1"/>
  <c r="G492" i="5"/>
  <c r="G511" i="5" l="1"/>
  <c r="G8" i="5"/>
  <c r="G512" i="5" l="1"/>
  <c r="D35" i="9"/>
  <c r="D34" i="9" s="1"/>
  <c r="D32" i="9" l="1"/>
  <c r="D25" i="9" s="1"/>
</calcChain>
</file>

<file path=xl/sharedStrings.xml><?xml version="1.0" encoding="utf-8"?>
<sst xmlns="http://schemas.openxmlformats.org/spreadsheetml/2006/main" count="3281" uniqueCount="724">
  <si>
    <t>I. OPĆI DIO</t>
  </si>
  <si>
    <t>A. RAČUN PRIHODA</t>
  </si>
  <si>
    <t xml:space="preserve"> PRIHODI POSLOVANJA</t>
  </si>
  <si>
    <t>Razred</t>
  </si>
  <si>
    <t xml:space="preserve">Skupina/podskupina/odjeljak </t>
  </si>
  <si>
    <t>Izvor</t>
  </si>
  <si>
    <t xml:space="preserve">Naziv </t>
  </si>
  <si>
    <t xml:space="preserve">Prihodi poslovanja </t>
  </si>
  <si>
    <t>Prihodi iz nadležnog proračuna i od HZZO-a temeljem ugovornih obveza</t>
  </si>
  <si>
    <t>671</t>
  </si>
  <si>
    <t>Prihodi iz nadležnog proračuna za financiranje redovne djelatnosti proračunskih korisnika</t>
  </si>
  <si>
    <t>6711</t>
  </si>
  <si>
    <t>Prihodi iz nadležnog proračuna za financiranje rashoda poslovanja</t>
  </si>
  <si>
    <t>6712</t>
  </si>
  <si>
    <t>Prihodi iz nadležnog proračuna za nabavu nefinancijske imovine</t>
  </si>
  <si>
    <t>Opći prihodi i primici</t>
  </si>
  <si>
    <t>Pomoći iz inozemstva i od subjekata unutar općeg proračuna</t>
  </si>
  <si>
    <t>633</t>
  </si>
  <si>
    <t>Pomoći proračunu iz drugih proračuna</t>
  </si>
  <si>
    <t>6331</t>
  </si>
  <si>
    <t>Tekuće pomoći proračunu iz drugih proračuna</t>
  </si>
  <si>
    <t>6332</t>
  </si>
  <si>
    <t>Kapitalne pomoći proračunu iz drugih proračuna</t>
  </si>
  <si>
    <t>634</t>
  </si>
  <si>
    <t>Pomoći od izvanproračunskih korisnika</t>
  </si>
  <si>
    <t>6341</t>
  </si>
  <si>
    <t>Tekuće pomoći od HZZ-a, HZZO-a</t>
  </si>
  <si>
    <t>636</t>
  </si>
  <si>
    <t>Pomoći proračunskim korisnicima iz proračuna koji im nije nadležan</t>
  </si>
  <si>
    <t>6361</t>
  </si>
  <si>
    <t>Tekuće pomoći iz državnog proračuna proračunskim korisnicma JLP(R)S</t>
  </si>
  <si>
    <t>638</t>
  </si>
  <si>
    <t>Pomoć temeljem prijenosa EU sredstava</t>
  </si>
  <si>
    <t>6381</t>
  </si>
  <si>
    <t>Tekuće pomoći temeljem prijenosa EU sredstava</t>
  </si>
  <si>
    <t>6382</t>
  </si>
  <si>
    <t>Kapitalna pomoć temeljem prijenosa EU sredstava</t>
  </si>
  <si>
    <t>639</t>
  </si>
  <si>
    <t>Prijenosi između proračunskih korisnika istog proračuna</t>
  </si>
  <si>
    <t>6391</t>
  </si>
  <si>
    <t>Tekući prijenosi između proračunskih korisnika istog proračuna</t>
  </si>
  <si>
    <t>Pomoći</t>
  </si>
  <si>
    <t>Prihodi od imovine</t>
  </si>
  <si>
    <t>Prihodi od financijske imovine</t>
  </si>
  <si>
    <t>Ostali prihodi od financijske imovine</t>
  </si>
  <si>
    <t>Prihodi od upravnih i administrativnih pristojbi, pristojbi po posebnim propisima i nakanda</t>
  </si>
  <si>
    <t>Prihodi po posebnim propisima</t>
  </si>
  <si>
    <t>Ostali nespomenuti prihodi (participacija)</t>
  </si>
  <si>
    <t>673</t>
  </si>
  <si>
    <t>Prihodi od HZZO-a temeljem ugovora</t>
  </si>
  <si>
    <t>6731</t>
  </si>
  <si>
    <t>68</t>
  </si>
  <si>
    <t>Kazne, upravne mjere i ostali prihodi</t>
  </si>
  <si>
    <t>683</t>
  </si>
  <si>
    <t>Ostali prihodi</t>
  </si>
  <si>
    <t>6831</t>
  </si>
  <si>
    <t xml:space="preserve">Ostali prihodi za posebne namjene </t>
  </si>
  <si>
    <t>Kamate na oročena srredstva i depozite po viđenju</t>
  </si>
  <si>
    <t>Ostali prihodi od nefinancijske imovine</t>
  </si>
  <si>
    <t>Prihodi od prodaje proizvoda i robe te pruženih usluga i prihodi od donacija</t>
  </si>
  <si>
    <t>661</t>
  </si>
  <si>
    <t>Prihodi od prodaje proizvoda i robe te pruženih usluga</t>
  </si>
  <si>
    <t>6614</t>
  </si>
  <si>
    <t>Prihod od prodaje proizvoda i usluga</t>
  </si>
  <si>
    <t>6615</t>
  </si>
  <si>
    <t>Prihodi od pruženih usluga</t>
  </si>
  <si>
    <t>31</t>
  </si>
  <si>
    <t xml:space="preserve"> Vlastiti prihodi </t>
  </si>
  <si>
    <t>Donacije od pravnih i fizičkih osoba izvan općeg proračuna i povrat donacija po protestiranim jamstvima</t>
  </si>
  <si>
    <t>Tekuće donacije</t>
  </si>
  <si>
    <t>6632</t>
  </si>
  <si>
    <t>Kapitalne donacije</t>
  </si>
  <si>
    <t>61</t>
  </si>
  <si>
    <t xml:space="preserve">Donacije </t>
  </si>
  <si>
    <t xml:space="preserve">Ostali nespomenuti prihodi </t>
  </si>
  <si>
    <t>Prihodi od  prodaje nefinancijske imovine</t>
  </si>
  <si>
    <t>Prihodi od prodaje proizvedene dugotrajne imovine</t>
  </si>
  <si>
    <t>Prihodi od prodaje građevinskih objekata</t>
  </si>
  <si>
    <t>Stambeni objekti</t>
  </si>
  <si>
    <t>Prihodi od prodaje prijevoznih sredstava</t>
  </si>
  <si>
    <t>Prijevozna sredstva u cestovnom prometu</t>
  </si>
  <si>
    <t>Ukupni prihodi</t>
  </si>
  <si>
    <t>RASHODI POSLOVANJA</t>
  </si>
  <si>
    <t>IZVORNI PLAN</t>
  </si>
  <si>
    <t>TEKUĆI PLAN</t>
  </si>
  <si>
    <t xml:space="preserve">Izvršenje tekuće godine I.-IX.2023. </t>
  </si>
  <si>
    <t>3</t>
  </si>
  <si>
    <t>Rashodi poslovanja</t>
  </si>
  <si>
    <t>Rashodi za zaposlene</t>
  </si>
  <si>
    <t>Plaće</t>
  </si>
  <si>
    <t>Plaće za redovan rad</t>
  </si>
  <si>
    <t>3112</t>
  </si>
  <si>
    <t>Plaće u naravi</t>
  </si>
  <si>
    <t>3113</t>
  </si>
  <si>
    <t>Plaće za prekovremeni rad</t>
  </si>
  <si>
    <t>3114</t>
  </si>
  <si>
    <t>Plaća za posebne uvjete rada</t>
  </si>
  <si>
    <t>312</t>
  </si>
  <si>
    <t>Ostali rashodi za zaposlene</t>
  </si>
  <si>
    <t>3121</t>
  </si>
  <si>
    <t>Doprinosi na plaće</t>
  </si>
  <si>
    <t>Doprinosi za obvezno zdravstveno osiguranje</t>
  </si>
  <si>
    <t>Materijalni rashodi</t>
  </si>
  <si>
    <t>Naknade troškova zaposlenima</t>
  </si>
  <si>
    <t>3211</t>
  </si>
  <si>
    <t>Službena putovanja</t>
  </si>
  <si>
    <t>3212</t>
  </si>
  <si>
    <t>Naknade za prijevoz, za rad na terenu i odvojeni život</t>
  </si>
  <si>
    <t>3213</t>
  </si>
  <si>
    <t>Stručno usavršavanje zaposlenih</t>
  </si>
  <si>
    <t>3214</t>
  </si>
  <si>
    <t>Ostale naknade troškova zaposlenima</t>
  </si>
  <si>
    <t>322</t>
  </si>
  <si>
    <t>Rashodi za materijal i energiju</t>
  </si>
  <si>
    <t>3221</t>
  </si>
  <si>
    <t>Uredski materijal i ostali materijalni rashodi</t>
  </si>
  <si>
    <t>3222</t>
  </si>
  <si>
    <t>Materijal i sirovine</t>
  </si>
  <si>
    <t>3223</t>
  </si>
  <si>
    <t>Energija</t>
  </si>
  <si>
    <t>3224</t>
  </si>
  <si>
    <t>Materijal i dijelovi za tekuće i investicijsko održavanje</t>
  </si>
  <si>
    <t>3225</t>
  </si>
  <si>
    <t>Sitan inventar i autogume</t>
  </si>
  <si>
    <t>3227</t>
  </si>
  <si>
    <t>Službena radna i zaštitna odjeća</t>
  </si>
  <si>
    <t>323</t>
  </si>
  <si>
    <t>Rashodi za usluge</t>
  </si>
  <si>
    <t>3231</t>
  </si>
  <si>
    <t>Usluge telefona i pošte</t>
  </si>
  <si>
    <t>3232</t>
  </si>
  <si>
    <t>Usluge tekućeg i investicijskog održavanja</t>
  </si>
  <si>
    <t>3233</t>
  </si>
  <si>
    <t>Usluge promidžbe i informiranja</t>
  </si>
  <si>
    <t>3234</t>
  </si>
  <si>
    <t>Komunalne usluge</t>
  </si>
  <si>
    <t>Zakupnine i najamnine</t>
  </si>
  <si>
    <t>Zdravstvene i veterinarske usluge</t>
  </si>
  <si>
    <t>Intelektualne usluge</t>
  </si>
  <si>
    <t>3238</t>
  </si>
  <si>
    <t>Računalne usluge</t>
  </si>
  <si>
    <t>3239</t>
  </si>
  <si>
    <t>Ostale usluge</t>
  </si>
  <si>
    <t xml:space="preserve">Naknade troškova osobama izvan radnog odnosa </t>
  </si>
  <si>
    <t>Ostali nespomenuti rashodi poslovanja</t>
  </si>
  <si>
    <t>3291</t>
  </si>
  <si>
    <t>Naknade za rad predstavničkih i izvršnih tijela, povjerenstava i slično</t>
  </si>
  <si>
    <t>Premija osiguranja</t>
  </si>
  <si>
    <t>Reprezentacija</t>
  </si>
  <si>
    <t>Članarine i norme</t>
  </si>
  <si>
    <t>Pristojbe i naknade</t>
  </si>
  <si>
    <t>Troškovi sudskih postupaka</t>
  </si>
  <si>
    <t>3299</t>
  </si>
  <si>
    <t>Financijski rashodi</t>
  </si>
  <si>
    <t>Ostali financijski rashodi</t>
  </si>
  <si>
    <t>3431</t>
  </si>
  <si>
    <t>Bankarske usluge i usluge platnog prometa</t>
  </si>
  <si>
    <t>Zatezne kamate</t>
  </si>
  <si>
    <t>Ostali nespomenuti financijski rashodi</t>
  </si>
  <si>
    <t>Pomoći dane u iznozemstvo i unutar općeg proračuna</t>
  </si>
  <si>
    <t>Tekući prijenosi između proračunksih korisnika istog proračuna</t>
  </si>
  <si>
    <t>Kapitalni prijenosi između proračunksih korisnika istog proračuna</t>
  </si>
  <si>
    <t>Naknade građanima i kućanstvima na temelju osiguranja i dr nak</t>
  </si>
  <si>
    <t>Ostale naknade građanima i kućanstvima iz proračuna</t>
  </si>
  <si>
    <t>Naknade građanima i kućanstvima u novcu</t>
  </si>
  <si>
    <t>38</t>
  </si>
  <si>
    <t>381</t>
  </si>
  <si>
    <t>Tekuće donacije u novcu</t>
  </si>
  <si>
    <t>3811</t>
  </si>
  <si>
    <t>Kazne, penali i naknade štete</t>
  </si>
  <si>
    <t>Naknade štete pravnim i fizičkim osobama</t>
  </si>
  <si>
    <t>Naknada šteta zaposlenicima</t>
  </si>
  <si>
    <t>Ugovorne kazne i ostale naknade štete</t>
  </si>
  <si>
    <t>Ostale kazne</t>
  </si>
  <si>
    <t>Rashodi za nabavu nefinancijske imovine</t>
  </si>
  <si>
    <t>41</t>
  </si>
  <si>
    <t>Rashodi za nabavu neproizvedene dugotrajne imovine</t>
  </si>
  <si>
    <t>411</t>
  </si>
  <si>
    <t>Materijalna imovina - prirodna bogatstva</t>
  </si>
  <si>
    <t>4111</t>
  </si>
  <si>
    <t>Građevinsko zemljište</t>
  </si>
  <si>
    <t>Nematerijalna imovina - licence</t>
  </si>
  <si>
    <t>Licence</t>
  </si>
  <si>
    <t>Rashodi za nabavu proizvedene dug. imovine</t>
  </si>
  <si>
    <t>Postrojenja i oprema</t>
  </si>
  <si>
    <t>4221</t>
  </si>
  <si>
    <t>Uredska oprema i namještaj</t>
  </si>
  <si>
    <t>4222</t>
  </si>
  <si>
    <t>Komunikacijska oprema</t>
  </si>
  <si>
    <t>Oprema za održavanje iz zaštitu</t>
  </si>
  <si>
    <t>Medicinska i laboratorijska oprema</t>
  </si>
  <si>
    <t>Instrumenti, uređaji i strojevi</t>
  </si>
  <si>
    <t>Uređaji, strojevi i oprema za ostale namjene</t>
  </si>
  <si>
    <t>Prijevozna sredstva</t>
  </si>
  <si>
    <t xml:space="preserve">Nematerijalna proizvedena imovina </t>
  </si>
  <si>
    <t>Ulaganja u računalne programe</t>
  </si>
  <si>
    <t>45</t>
  </si>
  <si>
    <t>Rashodi za dodatna ulaganja na financijskoj imovini</t>
  </si>
  <si>
    <t>451</t>
  </si>
  <si>
    <t>Dodatna ulaganja na građevinskim objektima</t>
  </si>
  <si>
    <t>4511</t>
  </si>
  <si>
    <t>452</t>
  </si>
  <si>
    <t>Dodatna ulaganja na postrojenjima i opremi</t>
  </si>
  <si>
    <t>4521</t>
  </si>
  <si>
    <t>Dodatna ulaganja na potrojenjima i opremi</t>
  </si>
  <si>
    <t>Negativne tečajne razlike</t>
  </si>
  <si>
    <t>421</t>
  </si>
  <si>
    <t>Građevinski objekti</t>
  </si>
  <si>
    <t>4212</t>
  </si>
  <si>
    <t>Poslovni objekti</t>
  </si>
  <si>
    <t xml:space="preserve">Vlastiti prihodi </t>
  </si>
  <si>
    <t>Plaće za posebne uvjete rada</t>
  </si>
  <si>
    <t>313</t>
  </si>
  <si>
    <t>3132</t>
  </si>
  <si>
    <t>Doprinosi za obvezno zdravstveno osiguranje zaštite zdr na radu</t>
  </si>
  <si>
    <t>321</t>
  </si>
  <si>
    <t>3235</t>
  </si>
  <si>
    <t>3236</t>
  </si>
  <si>
    <t>3237</t>
  </si>
  <si>
    <t>329</t>
  </si>
  <si>
    <t>Ostali rashodi poslovanja</t>
  </si>
  <si>
    <t>3293</t>
  </si>
  <si>
    <t>3295</t>
  </si>
  <si>
    <t>422</t>
  </si>
  <si>
    <t xml:space="preserve">Pomoći </t>
  </si>
  <si>
    <t>3131</t>
  </si>
  <si>
    <t>Doprinosi za mirovinsko osiguranje</t>
  </si>
  <si>
    <t>Pomoći EU</t>
  </si>
  <si>
    <t>4223</t>
  </si>
  <si>
    <t>4224</t>
  </si>
  <si>
    <t>4225</t>
  </si>
  <si>
    <t>3292</t>
  </si>
  <si>
    <t>426</t>
  </si>
  <si>
    <t>4262</t>
  </si>
  <si>
    <t>71</t>
  </si>
  <si>
    <t>Prihodi od nefinancijske imovine i nadoknade šteta s osnova osiguranja</t>
  </si>
  <si>
    <t>Ukupni rashodi</t>
  </si>
  <si>
    <t>Županija</t>
  </si>
  <si>
    <t xml:space="preserve">PRIHODI PREMA EKONOMSKOJ KLASIFIKACIJI </t>
  </si>
  <si>
    <t>SAVJET: PRVO POPUNITE PRETHODNI LIST</t>
  </si>
  <si>
    <t>Pomoći od međunaodnih organizacija te institucija i tijela EU</t>
  </si>
  <si>
    <t>Kapitalne pomoći od instucija i tijela EU</t>
  </si>
  <si>
    <t>Pomoć proračunu iz drugih proračuna</t>
  </si>
  <si>
    <t>OVA TABLICA AUTOMATSKI POVLAČI IZNOSE IZ PRETHODNOG LISTA (PRIHODI PO EK KLAS I IZVORIMA)</t>
  </si>
  <si>
    <t>Tekuća pomoć proračunu iz drugih proračuna</t>
  </si>
  <si>
    <t>UKOLIKO STE U PRVOM LISTU DODAVALI RAČUNE MORATI ĆETE I U OVOME LISTU NAPRAVITI IZMJENE U FORMULI RAČUNA NA KOJI SE IZMJENA ODNOSI</t>
  </si>
  <si>
    <t>Kapitalna pomoć proračunu iz drugih proračuna</t>
  </si>
  <si>
    <t xml:space="preserve">Tekuće pomoći od izvanproračunskih korisnika </t>
  </si>
  <si>
    <t>Pomoć proračunskim korisnicima iz prorač.koji im nije nadležan</t>
  </si>
  <si>
    <t>Tekuće pomoći iz državnog prorač. prorač.korisnicima JLP(R)S</t>
  </si>
  <si>
    <t>Pomoć temeljem prijenosa EU</t>
  </si>
  <si>
    <t>kapitalna pomoć temeljem prijenosa EU</t>
  </si>
  <si>
    <t>Prijenosi između proračunskih korisnika</t>
  </si>
  <si>
    <t>Tekući prijenosi između proračunskih korisnika</t>
  </si>
  <si>
    <t>Kamate na oročena sredstva i depozite po viđenju</t>
  </si>
  <si>
    <t>Ostali prihode o financijske imovine</t>
  </si>
  <si>
    <t>Prihodi od prodaje i donacija</t>
  </si>
  <si>
    <t>Prihodi od prodaje roba i pruženih usluga (vlastiti prihodi)</t>
  </si>
  <si>
    <t>Prihodi od prodaje proizvoda i robe</t>
  </si>
  <si>
    <t>Donacije od pravnih i fizičkih osoba izvan proračuna</t>
  </si>
  <si>
    <t>Prihodi iz nadležnog proračuna i HZZOa</t>
  </si>
  <si>
    <t>Prihodi od HZZO-a</t>
  </si>
  <si>
    <t xml:space="preserve">     UKUPNO PRIHODI I PRIMICI:</t>
  </si>
  <si>
    <t>A) SAŽETAK  RAČUNA PRIHODA I RASHODA</t>
  </si>
  <si>
    <t>EUR</t>
  </si>
  <si>
    <t>BROJČANA OZNAKA I NAZIV</t>
  </si>
  <si>
    <t>PRIHODI UKUPNO</t>
  </si>
  <si>
    <t>6 PRIHODI POSLOVANJA</t>
  </si>
  <si>
    <t>7 PRIHODI OD PRODAJE NEFINANCIJSKE IMOVINE</t>
  </si>
  <si>
    <t>RASHODI UKUPNO</t>
  </si>
  <si>
    <t>3 RASHODI  POSLOVANJA</t>
  </si>
  <si>
    <t>4 RASHODI ZA NABAVU NEFINANCIJSKE IMOVINE</t>
  </si>
  <si>
    <t>RAZLIKA - VIŠAK MANJAK</t>
  </si>
  <si>
    <t>B) SAŽETAK RAČUNA FINANCIRANJA</t>
  </si>
  <si>
    <t>8 PRIMICI OD FINANCIJSKE IMOVINE I ZADUŽIVANJA</t>
  </si>
  <si>
    <t>5 IZDACI ZA FINANCIJSKU IMOVINU I OTPLATE ZAJMOVA</t>
  </si>
  <si>
    <t>NETO FINANCIRANJE</t>
  </si>
  <si>
    <t>VIŠAK / MANJAK + NETO FINANCIRANJE</t>
  </si>
  <si>
    <t>C) PRENESENI VIŠAK ILI PRENESENI MANJAK</t>
  </si>
  <si>
    <t>PRENESENI VIŠAK / MANJAK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</si>
  <si>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</si>
  <si>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</si>
  <si>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D) VIŠEGODIŠNJI PLAN URAVNOTEŽENJA</t>
  </si>
  <si>
    <t>PRIJENOS VIŠKA / MANJKA IZ PRETHODNE(IH) GODINE</t>
  </si>
  <si>
    <t>VIŠAK / MANJAK IZ PRETHODNE(IH) GODINE KOJI ĆE SE RASPOREDITI / POKRITI</t>
  </si>
  <si>
    <t>A. RAČUN PRIHODA I RASHODA</t>
  </si>
  <si>
    <t>Izvršenje prethodne godine I.-VI. 2022.</t>
  </si>
  <si>
    <t>REBALANS 2023.</t>
  </si>
  <si>
    <t xml:space="preserve">Izvršenje tekuće godine I.-VI. 2023 </t>
  </si>
  <si>
    <t xml:space="preserve"> RASHODI POSLOVANJA</t>
  </si>
  <si>
    <t>Plaće (Bruto)</t>
  </si>
  <si>
    <t xml:space="preserve">Doprinosi na plaće </t>
  </si>
  <si>
    <t xml:space="preserve">Doprinosi za obavezno zdravst.osig. </t>
  </si>
  <si>
    <t>Naknade za prijevoz</t>
  </si>
  <si>
    <t>Materijal i dijelovi za tekuće i invest. održavanja</t>
  </si>
  <si>
    <t>Usluge telefona, pošte</t>
  </si>
  <si>
    <t>Naknade osobama izvan radnog odnosa</t>
  </si>
  <si>
    <t>Naknade tr.osobama izvan radnog odnosa</t>
  </si>
  <si>
    <t>Naknade za rad izvršnih tijela</t>
  </si>
  <si>
    <t>Financijski  rashodi</t>
  </si>
  <si>
    <t>Bankarske i usluge platnog prometa</t>
  </si>
  <si>
    <t xml:space="preserve">Ostali nespomenuti financijski rashodi </t>
  </si>
  <si>
    <t>Pomoći dane u inozemstvo i unutar općeg proračuna</t>
  </si>
  <si>
    <t>Tekući prijenosi između proračunskog korisnika istog proračuna</t>
  </si>
  <si>
    <t>Kapitalni prijenosi između proračunskih korisnika istog proračuna</t>
  </si>
  <si>
    <t xml:space="preserve">Ostali rashodi </t>
  </si>
  <si>
    <t>Naknada štete pravnim i fizičkim osobama</t>
  </si>
  <si>
    <t>Naknade šteta zaposlenicima</t>
  </si>
  <si>
    <t>Ostali izvanredni rashodi</t>
  </si>
  <si>
    <t>Rashodi za nabavu neproizvedene dugotrajne  imovine</t>
  </si>
  <si>
    <t>Rashodi za nabavu proizvedene dugotrajne  imovine</t>
  </si>
  <si>
    <t>Oprema za održavanje i zaštitu</t>
  </si>
  <si>
    <t>Nematerijalna proizvedena imovina</t>
  </si>
  <si>
    <t>UKUPNI RASHODI I IZDACI:</t>
  </si>
  <si>
    <t xml:space="preserve">KORIŠTENJE DEC-a SREDSTAVA ŽUPANIJE </t>
  </si>
  <si>
    <t>Ostale nespomenute usluge</t>
  </si>
  <si>
    <t>II. POSEBNI DIO</t>
  </si>
  <si>
    <t xml:space="preserve"> Rashodi i izdaci po izvorima financiranja i ekonomskoj klasifikaciji raspoređenih u programe, aktivnosti i projekte</t>
  </si>
  <si>
    <t>Šifra</t>
  </si>
  <si>
    <t>Naziv</t>
  </si>
  <si>
    <t>PROGRAM</t>
  </si>
  <si>
    <t>RAD I RAZVOJ USTANOVE</t>
  </si>
  <si>
    <t>AKTIVNOST</t>
  </si>
  <si>
    <t xml:space="preserve">Redovna djelatnost </t>
  </si>
  <si>
    <t>3133</t>
  </si>
  <si>
    <t>Prijenosi između prorač kor istog proračuna</t>
  </si>
  <si>
    <t>Kapitalni prijenosi između proračunskih korinsika istog prorač</t>
  </si>
  <si>
    <t>Naknade građanima i kućanstvima na temelju osig i dr nak</t>
  </si>
  <si>
    <t>Naknade građanima i kućanstvima iz proračuna</t>
  </si>
  <si>
    <t>Naknade šteta pravnim i fizičkim osobama</t>
  </si>
  <si>
    <t>Materijal i dijelovi za tek i invest održavanje</t>
  </si>
  <si>
    <t>Zaštitna odjeća i obuća</t>
  </si>
  <si>
    <t>3294</t>
  </si>
  <si>
    <t>3296</t>
  </si>
  <si>
    <t>34</t>
  </si>
  <si>
    <t>343</t>
  </si>
  <si>
    <t>3432</t>
  </si>
  <si>
    <t>3433</t>
  </si>
  <si>
    <t>3434</t>
  </si>
  <si>
    <t>37</t>
  </si>
  <si>
    <t>372</t>
  </si>
  <si>
    <t>3721</t>
  </si>
  <si>
    <t>383</t>
  </si>
  <si>
    <t>3834</t>
  </si>
  <si>
    <t>3835</t>
  </si>
  <si>
    <t>384</t>
  </si>
  <si>
    <t>Rashodi iz proteklih godina</t>
  </si>
  <si>
    <t>3842</t>
  </si>
  <si>
    <t>Ostali rashodi</t>
  </si>
  <si>
    <t>4</t>
  </si>
  <si>
    <t>412</t>
  </si>
  <si>
    <t>4123</t>
  </si>
  <si>
    <t>42</t>
  </si>
  <si>
    <t>4227</t>
  </si>
  <si>
    <t>423</t>
  </si>
  <si>
    <t>4231</t>
  </si>
  <si>
    <t>Ulaganja u računalna programe</t>
  </si>
  <si>
    <t>3833</t>
  </si>
  <si>
    <t>Naknade štete zaposlenicima</t>
  </si>
  <si>
    <t>11</t>
  </si>
  <si>
    <t>Opći prihod i primitak</t>
  </si>
  <si>
    <t>Rashodi za nabavu proizvedene dugotrajne imovine</t>
  </si>
  <si>
    <t>32</t>
  </si>
  <si>
    <t>Redovan program financiranja zdravstvenih ustanova iznad minimalnih standarda (dodatna zdravstvena skrb braniteljske populacije-pregled usne šupljine)</t>
  </si>
  <si>
    <t>36</t>
  </si>
  <si>
    <t>369</t>
  </si>
  <si>
    <t>3691</t>
  </si>
  <si>
    <t>Tekući prijenosi između proračunskih korisnika istog prorač.</t>
  </si>
  <si>
    <t>Sveukupno (kl.3 i kl.4)</t>
  </si>
  <si>
    <t xml:space="preserve">A. RAČUN PRIHODA I RASHODA </t>
  </si>
  <si>
    <t>IZVJEŠTAJ O RASHODIMA PREMA FUNKCIJSKOJ KLASIFIKACIJI</t>
  </si>
  <si>
    <t xml:space="preserve">UKUPNO RASHODI </t>
  </si>
  <si>
    <t>07 Zdravstvo</t>
  </si>
  <si>
    <t>072 Služba za vanjske pacijente</t>
  </si>
  <si>
    <t>0721 Opće medicinske usluge</t>
  </si>
  <si>
    <t>0722 Specijalističke med. usluge</t>
  </si>
  <si>
    <t>0723 Zubarske usluge</t>
  </si>
  <si>
    <t>073 Bolničke službe</t>
  </si>
  <si>
    <t>0731 Usluge općih bolnica</t>
  </si>
  <si>
    <t>074 Službe javnog zdravstva</t>
  </si>
  <si>
    <t xml:space="preserve">RASHODI PREMA EKONOMSKOJ KLASIFIKACIJI </t>
  </si>
  <si>
    <t>PRIHODI PREMA EKONOMSKOJ KLASIFIKACIJI I IZVORIMA FINANCIRANJA</t>
  </si>
  <si>
    <t>RASHODI PREMA EKONOMSKOJ KLASIFIKACIJI I IZVORIMA FINANCIRANJA</t>
  </si>
  <si>
    <t>PRIHODI I RASHODI PREMA IZVORIMA FINANCIRANJA</t>
  </si>
  <si>
    <t xml:space="preserve">UKUPNO PRIHODI </t>
  </si>
  <si>
    <t>1 Opći prihodi i primici</t>
  </si>
  <si>
    <t xml:space="preserve">   11 Opći prihodi i primici</t>
  </si>
  <si>
    <t xml:space="preserve">   31 Vlastiti prihodi</t>
  </si>
  <si>
    <t xml:space="preserve">   43 Prihodi za posebne namjene (HZZO)</t>
  </si>
  <si>
    <t xml:space="preserve">   43 Prihodi za posebne namjene (dopunsko osiguranje, participacija,…)</t>
  </si>
  <si>
    <t xml:space="preserve">   43 Ostali prihodi</t>
  </si>
  <si>
    <t xml:space="preserve">   52 Ostale pomoći</t>
  </si>
  <si>
    <t xml:space="preserve">   61 Donacije</t>
  </si>
  <si>
    <t xml:space="preserve">   71 Prihodi od nefinancijske imovine i naknade štete s naslova osiguranja</t>
  </si>
  <si>
    <t xml:space="preserve">   43 Prihodi za posebne namjene</t>
  </si>
  <si>
    <t>Vlastiti izvori</t>
  </si>
  <si>
    <t>Višak/manjak prihoda</t>
  </si>
  <si>
    <t>Višak prihoda</t>
  </si>
  <si>
    <t>Vlastiti prihodi-višak</t>
  </si>
  <si>
    <t>Prihodi za posebne namjene-višak</t>
  </si>
  <si>
    <t>Plaće po sudskim presudama</t>
  </si>
  <si>
    <t>Ostali nenavedeni rashodi za zaposlene</t>
  </si>
  <si>
    <t>Ostali rashodi za zaposlene-nagrade</t>
  </si>
  <si>
    <t>Otpremnine</t>
  </si>
  <si>
    <t>Darovi</t>
  </si>
  <si>
    <t>Naknade za bolest, invalidnost i smrt</t>
  </si>
  <si>
    <t>Regres za godišnji odmor</t>
  </si>
  <si>
    <t>Dnevnice za službeni put u zemlji</t>
  </si>
  <si>
    <t>Naknade za prijevoz, odvojeni život</t>
  </si>
  <si>
    <t>Naknade za smještaj na službenom putu u zemlji</t>
  </si>
  <si>
    <t>Naknade za prijevoz na službenom putu u zemlji</t>
  </si>
  <si>
    <t>Seminari, savjetovanja i simpoziji</t>
  </si>
  <si>
    <t>Tečajevi i stručni ispiti</t>
  </si>
  <si>
    <t>Naknada za korištenje privatnog automobila u službene svrhe</t>
  </si>
  <si>
    <t>Uredski materijal</t>
  </si>
  <si>
    <t>Literatura</t>
  </si>
  <si>
    <t>Materijal i sredstva za čišćenje i održavanje</t>
  </si>
  <si>
    <t>Službena, radna i zaštitna odjeća</t>
  </si>
  <si>
    <t>Ostali materijal za potrebe redovnog poslovanja</t>
  </si>
  <si>
    <t>Potrošni medicinski materijal</t>
  </si>
  <si>
    <t>Lijekovi</t>
  </si>
  <si>
    <t>Ostali materijal i sirovine</t>
  </si>
  <si>
    <t>Motorni benzin i dizel gorivo</t>
  </si>
  <si>
    <t>Električna energija</t>
  </si>
  <si>
    <t>Topla voda</t>
  </si>
  <si>
    <t>Plin</t>
  </si>
  <si>
    <t>Materijal i dijelovi za tekuće i invest. održavanje građevinskih objekata</t>
  </si>
  <si>
    <t>Materijal i dijelovi za tekuće i invest. održavanje transportnih sredstava</t>
  </si>
  <si>
    <t>Materijal i dijelovi za tekuće i invest. održavanje postrojenja i opreme</t>
  </si>
  <si>
    <t>Ostali materijal i dijelovi za tekuće i invest. održavanje</t>
  </si>
  <si>
    <t>Usluge telefona, telefaksa</t>
  </si>
  <si>
    <t>Poštarina</t>
  </si>
  <si>
    <t>Usluge tekućeg i investicijskog održavanja prijevoznih sredstava</t>
  </si>
  <si>
    <t>Usluge tekućeg i investicijskog održavanja građevinskih objekata</t>
  </si>
  <si>
    <t>Usluge tekućeg i investicijskog održavanja postrojenja i opreme</t>
  </si>
  <si>
    <t>Ostale usluge promidžbe i informiranja</t>
  </si>
  <si>
    <t>Opskrba vodom</t>
  </si>
  <si>
    <t>Iznošenje i odvoz smeća</t>
  </si>
  <si>
    <t>Deratizacija i dezinsekcija</t>
  </si>
  <si>
    <t>Ostale komunalne usluge</t>
  </si>
  <si>
    <t>Ostale zakupnine i najamnine</t>
  </si>
  <si>
    <t>Ostale zdravstvene i veterinarske usluge</t>
  </si>
  <si>
    <t>Ugovori o djelu</t>
  </si>
  <si>
    <t>Usluge odvjetnika i pravnog savjetovanja</t>
  </si>
  <si>
    <t>Ostale računalne usluge</t>
  </si>
  <si>
    <t>Usluge pri registraciji prijevoznih sredstava</t>
  </si>
  <si>
    <t>Usluge čišćenja, pranja i slično</t>
  </si>
  <si>
    <t>Premije osiguranja zaposlenih</t>
  </si>
  <si>
    <t>Premije osiguranja</t>
  </si>
  <si>
    <t>Premije osiguranja ostale imovine</t>
  </si>
  <si>
    <t>Premije osiguranja prijevoznih sredstava</t>
  </si>
  <si>
    <t>Tuzemne članarine</t>
  </si>
  <si>
    <t>Ostale pristojbe i naknade</t>
  </si>
  <si>
    <t>Sudske pristojbe</t>
  </si>
  <si>
    <t>Javnobilježničke pristojbe</t>
  </si>
  <si>
    <t>Rashodi protokola (vijenci, cvijeće, svijeće i slično)</t>
  </si>
  <si>
    <t>Naknade ostalih troškova</t>
  </si>
  <si>
    <t>Usluge platnog prometa</t>
  </si>
  <si>
    <t>Zatezne kamate na poreze</t>
  </si>
  <si>
    <t>Zatezne kamate za doprinose</t>
  </si>
  <si>
    <t>Zatezne kamate iz poslovnih odnosa</t>
  </si>
  <si>
    <t>Ostale zatezne kamate</t>
  </si>
  <si>
    <t>Pomoći obiteljima i kućanstvima</t>
  </si>
  <si>
    <t>Stipendije i školarine</t>
  </si>
  <si>
    <t>Računala i računalna oprema</t>
  </si>
  <si>
    <t>Uredski namještaj</t>
  </si>
  <si>
    <t>Ostala uredska oprema</t>
  </si>
  <si>
    <t>Oprema za održavanje prostorija</t>
  </si>
  <si>
    <t>Oprema za grijanje, ventilaciju i hlađenje</t>
  </si>
  <si>
    <t>Medicinska oprema</t>
  </si>
  <si>
    <t>Laboratorijska oprema</t>
  </si>
  <si>
    <t>Osobni automobili</t>
  </si>
  <si>
    <t>Sufinanciranje cijene usluge, participacija</t>
  </si>
  <si>
    <t>Prihodi od osiguranja i refundacije štete</t>
  </si>
  <si>
    <t>Refundacija plaća specijalizanata</t>
  </si>
  <si>
    <t>67111</t>
  </si>
  <si>
    <t>67121</t>
  </si>
  <si>
    <t>63414</t>
  </si>
  <si>
    <t>63612</t>
  </si>
  <si>
    <t>67311</t>
  </si>
  <si>
    <t>68311</t>
  </si>
  <si>
    <t>66151</t>
  </si>
  <si>
    <t>66313</t>
  </si>
  <si>
    <t>6631</t>
  </si>
  <si>
    <t>31111</t>
  </si>
  <si>
    <t>31113</t>
  </si>
  <si>
    <t>31131</t>
  </si>
  <si>
    <t>31141</t>
  </si>
  <si>
    <t>31212</t>
  </si>
  <si>
    <t>31213</t>
  </si>
  <si>
    <t>31214</t>
  </si>
  <si>
    <t>31215</t>
  </si>
  <si>
    <t>31216</t>
  </si>
  <si>
    <t>31219</t>
  </si>
  <si>
    <t>31321</t>
  </si>
  <si>
    <t>32121</t>
  </si>
  <si>
    <t>32141</t>
  </si>
  <si>
    <t>32221</t>
  </si>
  <si>
    <t>32226</t>
  </si>
  <si>
    <t>32229</t>
  </si>
  <si>
    <t>32231</t>
  </si>
  <si>
    <t>32232</t>
  </si>
  <si>
    <t>32233</t>
  </si>
  <si>
    <t>32234</t>
  </si>
  <si>
    <t>32251</t>
  </si>
  <si>
    <t>32271</t>
  </si>
  <si>
    <t>32311</t>
  </si>
  <si>
    <t>32313</t>
  </si>
  <si>
    <t>32339</t>
  </si>
  <si>
    <t>Ostale intelektualne usluge</t>
  </si>
  <si>
    <t>32412</t>
  </si>
  <si>
    <t>Pomoći obitelji i kućanstvima</t>
  </si>
  <si>
    <t>41112</t>
  </si>
  <si>
    <t>45111</t>
  </si>
  <si>
    <t>32115</t>
  </si>
  <si>
    <t>32132</t>
  </si>
  <si>
    <t>32211</t>
  </si>
  <si>
    <t>32369</t>
  </si>
  <si>
    <t>32372</t>
  </si>
  <si>
    <t>32399</t>
  </si>
  <si>
    <t>32921</t>
  </si>
  <si>
    <t>Premija osiguranja prijevoznih sredstava</t>
  </si>
  <si>
    <t>42241</t>
  </si>
  <si>
    <t>32389</t>
  </si>
  <si>
    <t>3111</t>
  </si>
  <si>
    <t>32111</t>
  </si>
  <si>
    <t>42212</t>
  </si>
  <si>
    <t>42231</t>
  </si>
  <si>
    <t>32321</t>
  </si>
  <si>
    <t>32322</t>
  </si>
  <si>
    <t>32323</t>
  </si>
  <si>
    <t>42211</t>
  </si>
  <si>
    <t>32113</t>
  </si>
  <si>
    <t>Naknada za korištenje privatnog autoobila u službene svrhe</t>
  </si>
  <si>
    <t>32131</t>
  </si>
  <si>
    <t>32212</t>
  </si>
  <si>
    <t>32214</t>
  </si>
  <si>
    <t>32215</t>
  </si>
  <si>
    <t>32219</t>
  </si>
  <si>
    <t>Ostale sirovine</t>
  </si>
  <si>
    <t>32241</t>
  </si>
  <si>
    <t>32242</t>
  </si>
  <si>
    <t>32243</t>
  </si>
  <si>
    <t>32244</t>
  </si>
  <si>
    <t>32341</t>
  </si>
  <si>
    <t>32342</t>
  </si>
  <si>
    <t>32343</t>
  </si>
  <si>
    <t>Usluge odvjetnika i pravnog savjetnika</t>
  </si>
  <si>
    <t>Tuzemna članarine</t>
  </si>
  <si>
    <t>42219</t>
  </si>
  <si>
    <t xml:space="preserve">Materijal i dijelovi za tekuće i investicijsko održavanje </t>
  </si>
  <si>
    <t>Materijal i dijelovi za tekuće i investicijsko održavanje građ. objekata</t>
  </si>
  <si>
    <t>Ostale  usluge</t>
  </si>
  <si>
    <t>Naknade za rad predstavničkih i izvršnih tijela, povjerenstava i sl.</t>
  </si>
  <si>
    <t>Program dodjele financijskih sredstava Ministarstva zdravstva u području prevencije ovisnosti i ponašajnih ovisnosti "Stop ovisnostima"</t>
  </si>
  <si>
    <t>Program dodjele financijskih sredstava HEP-a na ime naknade za proizvod ZelEn (Fotonaponska elektrana na krovištu Doma zdravlja Vukovar)</t>
  </si>
  <si>
    <t>IZVRŠENJE 
2024.</t>
  </si>
  <si>
    <t>PROJEKCIJA ZA
2028.</t>
  </si>
  <si>
    <t>PLAN ZA
2026.</t>
  </si>
  <si>
    <t>PROJEKCIJA ZA 
2027.</t>
  </si>
  <si>
    <t>TEKUĆI PLAN ZA
2025.</t>
  </si>
  <si>
    <t>Kombi vozila</t>
  </si>
  <si>
    <t>31332</t>
  </si>
  <si>
    <t>Doprinosi za zapošljavanje</t>
  </si>
  <si>
    <t>Doprinosi u slučaju nezaposlenosti</t>
  </si>
  <si>
    <t>32319</t>
  </si>
  <si>
    <t>Ostale usluge za komunikaciju i prijevoz</t>
  </si>
  <si>
    <t>Geodetsko-katastarske usluge</t>
  </si>
  <si>
    <t>Ostali instrumenti i uređaji</t>
  </si>
  <si>
    <t>Program financiranja projekta "Pokretni dijagnostički centar" od strane Fonda za obnovu i razvoj Grada Vukovara</t>
  </si>
  <si>
    <t>Medicinska i labaratorijska oprema</t>
  </si>
  <si>
    <t>Materijal i sredstva za čišćenje</t>
  </si>
  <si>
    <t>32379</t>
  </si>
  <si>
    <t>32931</t>
  </si>
  <si>
    <t>Prihodi od zateznih kamata</t>
  </si>
  <si>
    <t>66153</t>
  </si>
  <si>
    <t>Prihodi za udio troškova u zakupu</t>
  </si>
  <si>
    <t>63313</t>
  </si>
  <si>
    <t>Tekuće potpore iz gradskog proračuna</t>
  </si>
  <si>
    <t>6362</t>
  </si>
  <si>
    <t>63622</t>
  </si>
  <si>
    <t>Kapitalne pomoći iz državnog proračuna proračunskim korisnicima JLP(R)S</t>
  </si>
  <si>
    <t>Kapitalne pomoći iz državnog prorač. prorač.korisnicima JLP(R)S</t>
  </si>
  <si>
    <t>325</t>
  </si>
  <si>
    <t>3251</t>
  </si>
  <si>
    <t>32511</t>
  </si>
  <si>
    <t>32513</t>
  </si>
  <si>
    <t>Rashodi po osnovi utroška lijekova</t>
  </si>
  <si>
    <t>Rashodi po osnovi utroška potrošnog medicinskog materijala</t>
  </si>
  <si>
    <t>Usluge telefona, pošte i prijevoza</t>
  </si>
  <si>
    <t>Ostali instrumenti i uređaj</t>
  </si>
  <si>
    <t>FINANCIJSKI PLAN DOMA ZDRAVLJA VUKOVARSKO - SRIJEMSKE ŽUPANIJE ZA 2026. GODINU S PROJEKCIJAMA ZA 2027. I 2028. GODINU</t>
  </si>
  <si>
    <t>32119</t>
  </si>
  <si>
    <t>Ostali rashodi za sl. putovanje (cestarine, trošak parkiranja)</t>
  </si>
  <si>
    <t>32216</t>
  </si>
  <si>
    <t>Materijal za higijenske potrebe i njegu</t>
  </si>
  <si>
    <t>32224</t>
  </si>
  <si>
    <t>32225</t>
  </si>
  <si>
    <t>Namirnice</t>
  </si>
  <si>
    <t>Roba</t>
  </si>
  <si>
    <t>32252</t>
  </si>
  <si>
    <t>Sitan inventar</t>
  </si>
  <si>
    <t>Auto gume</t>
  </si>
  <si>
    <t>32329</t>
  </si>
  <si>
    <t>Ostale usluge tekućeg i investicijskog ulaganja</t>
  </si>
  <si>
    <t>Dimnjačarske usluge</t>
  </si>
  <si>
    <t>32345</t>
  </si>
  <si>
    <t>32347</t>
  </si>
  <si>
    <t>32348</t>
  </si>
  <si>
    <t>Komunalna naknada</t>
  </si>
  <si>
    <t>Pričuva</t>
  </si>
  <si>
    <t>Naknada za uređenje voda</t>
  </si>
  <si>
    <t>32344</t>
  </si>
  <si>
    <t>Zakupnine i najamnine za opremu</t>
  </si>
  <si>
    <t>Licence-računalni programi</t>
  </si>
  <si>
    <t>Laboratorijske usluge</t>
  </si>
  <si>
    <t>Veterinarske usluge</t>
  </si>
  <si>
    <t>Obvezni i preventivni zdravstveni pregledi zaposlenika</t>
  </si>
  <si>
    <t>Grafičke i tiskarske usluge, usluge kopiranja i uvezivanja i slično</t>
  </si>
  <si>
    <t>3252</t>
  </si>
  <si>
    <t>32521</t>
  </si>
  <si>
    <t>Rashodi s osnova otpisa lijekova i potrošnog materijala</t>
  </si>
  <si>
    <t>3254</t>
  </si>
  <si>
    <t>32541</t>
  </si>
  <si>
    <t>Rashodi s osnova prodaje lijekova i potrošnog materijala</t>
  </si>
  <si>
    <t>Rashodi s osnova prodaje lijekova</t>
  </si>
  <si>
    <t>Rashodi s osnova otpisa lijekova</t>
  </si>
  <si>
    <t>Upravne i administrativne pristojbe</t>
  </si>
  <si>
    <t>Usluge banaka</t>
  </si>
  <si>
    <t>31217</t>
  </si>
  <si>
    <t>Božićnica, uskrsnica</t>
  </si>
  <si>
    <t>32123</t>
  </si>
  <si>
    <t>Naknada za odvojeni život</t>
  </si>
  <si>
    <t>Autogume</t>
  </si>
  <si>
    <t>32334</t>
  </si>
  <si>
    <t>Usluge promidžbe i informiranja, oglasi</t>
  </si>
  <si>
    <t>32373</t>
  </si>
  <si>
    <t>32381</t>
  </si>
  <si>
    <t>Rashodi lijekova i potrošnog materijala</t>
  </si>
  <si>
    <t>32941</t>
  </si>
  <si>
    <t>32955</t>
  </si>
  <si>
    <t>Novčana naknada poslodavca zbog nezapošljavanja osoba s invaliditetom</t>
  </si>
  <si>
    <t>34312</t>
  </si>
  <si>
    <t>34349</t>
  </si>
  <si>
    <t>38341</t>
  </si>
  <si>
    <t>Ostale usluge tekućeg i investicijskog održavanja</t>
  </si>
  <si>
    <t>Telefoni i ostali komunikacijski uređaji</t>
  </si>
  <si>
    <t>42222</t>
  </si>
  <si>
    <t>37215</t>
  </si>
  <si>
    <t>Rashodi po osnovi utroška potrošnog materijala</t>
  </si>
  <si>
    <t>63811</t>
  </si>
  <si>
    <t>Tekuće pomoći iz državnog proračuna temeljem EU prijenosa</t>
  </si>
  <si>
    <t>63911</t>
  </si>
  <si>
    <t>66142</t>
  </si>
  <si>
    <t>Prihodi od prodaje robe</t>
  </si>
  <si>
    <t>Stambeni objekti za zaposlene</t>
  </si>
  <si>
    <t>63821</t>
  </si>
  <si>
    <t>Pomoći temeljem EU prijenosa</t>
  </si>
  <si>
    <t>Prihodi od nefinancijske imovine</t>
  </si>
  <si>
    <t>66141</t>
  </si>
  <si>
    <t>66157</t>
  </si>
  <si>
    <t>Prihod od usluga ref. dežurstva specijalizanti</t>
  </si>
  <si>
    <t>68312</t>
  </si>
  <si>
    <t>68313</t>
  </si>
  <si>
    <t>Ostali prihodi-od inventurnih viškova</t>
  </si>
  <si>
    <t>66312</t>
  </si>
  <si>
    <t>66323</t>
  </si>
  <si>
    <t>Kapitalne donacije od trgovačkih društava</t>
  </si>
  <si>
    <t>Tekuće donacije od neprofitnih organizacija</t>
  </si>
  <si>
    <t>Ostali prihodi od veleprodajnih i akcijskih rabata</t>
  </si>
  <si>
    <t xml:space="preserve">   43 Prihodi od financijske imovine</t>
  </si>
  <si>
    <t>VIŠAK / MANJAK TEKUĆE GODINE</t>
  </si>
  <si>
    <t>Prihodi poslovanja</t>
  </si>
  <si>
    <t xml:space="preserve">Materijalni rashodi </t>
  </si>
  <si>
    <t>Usluge ažuriranja računalnih baza</t>
  </si>
  <si>
    <t>Bolnice, ostali zdravstveni objekti, laboratoriji, umirovljenički domovi i centri za socijalnu skrb</t>
  </si>
  <si>
    <t>Precizni i optički instrumenti</t>
  </si>
  <si>
    <t>Uređaji</t>
  </si>
  <si>
    <t>Nematerijalna imovina</t>
  </si>
  <si>
    <t>KORIŠTENJE DEC-a SREDSTAVA ŽUPANIJE</t>
  </si>
  <si>
    <t>Redovan program financiranja zdravstvenih ustanova iznad minimalnih standarda (dodatna zdravstvena zaštita i promicanje dojenja)</t>
  </si>
  <si>
    <t>32999</t>
  </si>
  <si>
    <t xml:space="preserve">Ostale pomoći </t>
  </si>
  <si>
    <t>Europski fond za regionalni razvoj - Unaprijeđenje kvalitete zdravstvene zaštite žena (Županja)</t>
  </si>
  <si>
    <t>563</t>
  </si>
  <si>
    <t>Europski fond za regionalni razvoj (Pomoći)</t>
  </si>
  <si>
    <t>581</t>
  </si>
  <si>
    <t>Mehanizam za oporavak i otpornost - bespovratna sredstva</t>
  </si>
  <si>
    <t>Mehanizam za oporavak i otpornost - bespovratna sredstva - Program financiranja zdravstvenih ustanova iz fondova Europske unije (specijalističko usavršavanje devet doktora medicine)</t>
  </si>
  <si>
    <t>42122</t>
  </si>
  <si>
    <t>42232</t>
  </si>
  <si>
    <t>Redovan program financiranja zdravstvenih ustanova iznad minimalnih standarda (Health home-patronaža)</t>
  </si>
  <si>
    <t>3 Vlastiti prihodi</t>
  </si>
  <si>
    <t>4 Prihodi za posebne namjene</t>
  </si>
  <si>
    <t>5 Pomoći</t>
  </si>
  <si>
    <t>6 Donacije</t>
  </si>
  <si>
    <t xml:space="preserve">   56 Fondovi EU</t>
  </si>
  <si>
    <t xml:space="preserve">      563 Europski fond za regionalni razvoj</t>
  </si>
  <si>
    <t xml:space="preserve">   58 Instrumenti EU nove generacije</t>
  </si>
  <si>
    <t xml:space="preserve">      581 Mehanizam za oporavak i otpornost - bespovratna sredstva</t>
  </si>
  <si>
    <t xml:space="preserve">Ostale Pomoći </t>
  </si>
  <si>
    <t>7 Prihodi od nefinancijske imovine i naknade štete s naslova osiguranja</t>
  </si>
  <si>
    <t>56</t>
  </si>
  <si>
    <t>Fondovi EU</t>
  </si>
  <si>
    <t>5</t>
  </si>
  <si>
    <t>58</t>
  </si>
  <si>
    <t>Instrumenti EU nove generacije</t>
  </si>
  <si>
    <t>Mehanizam za oporavak i otpornost</t>
  </si>
  <si>
    <t>Europski fond za regionalni razvoj</t>
  </si>
  <si>
    <t>6</t>
  </si>
  <si>
    <t xml:space="preserve">DONACIJE </t>
  </si>
  <si>
    <t>POMOĆI</t>
  </si>
  <si>
    <t>7</t>
  </si>
  <si>
    <t>Prihodi od prodaje ili zamjene nefinancijske imovine i naknade s naslova osiguranja</t>
  </si>
  <si>
    <t>PRIHODI OD PRODAJE ILI ZAMJENE NEFINANCIJSKE IMOVINE I NAKNADE S NASLOVA OSIGURANJA</t>
  </si>
  <si>
    <t>PRIHODI ZA POSEBNE NAMJENE</t>
  </si>
  <si>
    <t xml:space="preserve">VLASTITI PRIHODI </t>
  </si>
  <si>
    <t>1</t>
  </si>
  <si>
    <t xml:space="preserve">OPĆI PRIHODI I PRIMICI </t>
  </si>
  <si>
    <t xml:space="preserve">Uređaji </t>
  </si>
  <si>
    <t>Ostale pomoći</t>
  </si>
  <si>
    <t>Kapitalna pomoć temeljem prijenosa EU</t>
  </si>
  <si>
    <t>Prihodi od prodaje proizvoda i robe - ljekarne</t>
  </si>
  <si>
    <t>Prihodi od upravnih i administrativnih pristojbi, pristojbi po posebnim propisima i naknada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</si>
</sst>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&quot;kn&quot;_-;\-* #,##0.00\ &quot;kn&quot;_-;_-* &quot;-&quot;??\ &quot;kn&quot;_-;_-@_-"/>
    <numFmt numFmtId="165" formatCode="_-* #,##0.00\ [$€-1]_-;\-* #,##0.00\ [$€-1]_-;_-* &quot;-&quot;??\ [$€-1]_-;_-@_-"/>
    <numFmt numFmtId="166" formatCode="#,##0.00\ [$€-41A]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theme="3" tint="-0.249977111117893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2"/>
      <color theme="3" tint="-0.249977111117893"/>
      <name val="Times New Roman"/>
      <family val="1"/>
      <charset val="238"/>
    </font>
    <font>
      <b/>
      <sz val="12"/>
      <color theme="3" tint="-0.499984740745262"/>
      <name val="Times New Roman"/>
      <family val="1"/>
      <charset val="238"/>
    </font>
    <font>
      <sz val="12"/>
      <color theme="3" tint="-0.499984740745262"/>
      <name val="Times New Roman"/>
      <family val="1"/>
      <charset val="238"/>
    </font>
    <font>
      <sz val="12"/>
      <color theme="3" tint="0.3999755851924192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2"/>
      <color rgb="FF002060"/>
      <name val="Times New Roman"/>
      <family val="1"/>
      <charset val="238"/>
    </font>
    <font>
      <b/>
      <sz val="12"/>
      <color theme="8" tint="-0.499984740745262"/>
      <name val="Times New Roman"/>
      <family val="1"/>
      <charset val="238"/>
    </font>
    <font>
      <sz val="12"/>
      <color rgb="FF002060"/>
      <name val="Times New Roman"/>
      <family val="1"/>
      <charset val="238"/>
    </font>
    <font>
      <b/>
      <i/>
      <sz val="12"/>
      <color rgb="FF002060"/>
      <name val="Times New Roman"/>
      <family val="1"/>
      <charset val="238"/>
    </font>
    <font>
      <i/>
      <sz val="12"/>
      <color rgb="FF002060"/>
      <name val="Times New Roman"/>
      <family val="1"/>
      <charset val="238"/>
    </font>
    <font>
      <b/>
      <i/>
      <sz val="12"/>
      <color rgb="FFFF0000"/>
      <name val="Times New Roman"/>
      <family val="1"/>
      <charset val="238"/>
    </font>
    <font>
      <sz val="12"/>
      <color theme="8" tint="-0.499984740745262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i/>
      <sz val="12"/>
      <color rgb="FF000000"/>
      <name val="Times New Roman"/>
      <family val="1"/>
      <charset val="238"/>
    </font>
    <font>
      <b/>
      <i/>
      <sz val="12"/>
      <color rgb="FF000000"/>
      <name val="Times New Roman"/>
      <family val="1"/>
      <charset val="238"/>
    </font>
    <font>
      <i/>
      <sz val="12"/>
      <color rgb="FFFF0000"/>
      <name val="Times New Roman"/>
      <family val="1"/>
      <charset val="238"/>
    </font>
    <font>
      <b/>
      <i/>
      <sz val="12"/>
      <color theme="8" tint="-0.499984740745262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i/>
      <sz val="12"/>
      <color theme="3" tint="-0.499984740745262"/>
      <name val="Times New Roman"/>
      <family val="1"/>
      <charset val="238"/>
    </font>
    <font>
      <i/>
      <sz val="12"/>
      <color theme="3" tint="-0.499984740745262"/>
      <name val="Times New Roman"/>
      <family val="1"/>
      <charset val="238"/>
    </font>
    <font>
      <i/>
      <sz val="12"/>
      <color theme="8" tint="-0.499984740745262"/>
      <name val="Times New Roman"/>
      <family val="1"/>
      <charset val="238"/>
    </font>
    <font>
      <b/>
      <sz val="16"/>
      <color indexed="8"/>
      <name val="Times New Roman"/>
      <family val="1"/>
      <charset val="238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7" tint="0.59999389629810485"/>
        <bgColor rgb="FFFFFFFF"/>
      </patternFill>
    </fill>
    <fill>
      <patternFill patternType="solid">
        <fgColor theme="4" tint="0.39997558519241921"/>
        <bgColor rgb="FFFFFFFF"/>
      </patternFill>
    </fill>
    <fill>
      <patternFill patternType="solid">
        <fgColor theme="4" tint="0.79998168889431442"/>
        <bgColor rgb="FFFFFFFF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rgb="FFFFFFFF"/>
      </patternFill>
    </fill>
    <fill>
      <patternFill patternType="solid">
        <fgColor theme="9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indexed="64"/>
      </left>
      <right/>
      <top style="thin">
        <color rgb="FF002060"/>
      </top>
      <bottom style="thin">
        <color rgb="FF002060"/>
      </bottom>
      <diagonal/>
    </border>
    <border>
      <left style="thin">
        <color indexed="64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thin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2060"/>
      </top>
      <bottom style="thin">
        <color rgb="FF002060"/>
      </bottom>
      <diagonal/>
    </border>
    <border>
      <left style="thin">
        <color indexed="64"/>
      </left>
      <right style="thin">
        <color indexed="64"/>
      </right>
      <top style="thin">
        <color rgb="FF002060"/>
      </top>
      <bottom/>
      <diagonal/>
    </border>
    <border>
      <left style="thin">
        <color indexed="64"/>
      </left>
      <right style="thin">
        <color indexed="64"/>
      </right>
      <top style="thin">
        <color rgb="FF00206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rgb="FF002060"/>
      </bottom>
      <diagonal/>
    </border>
    <border>
      <left style="thin">
        <color indexed="64"/>
      </left>
      <right/>
      <top style="thin">
        <color rgb="FF002060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  <xf numFmtId="0" fontId="4" fillId="0" borderId="0"/>
    <xf numFmtId="0" fontId="1" fillId="0" borderId="0"/>
  </cellStyleXfs>
  <cellXfs count="594">
    <xf numFmtId="0" fontId="0" fillId="0" borderId="0" xfId="0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7" fillId="0" borderId="0" xfId="0" quotePrefix="1" applyFont="1" applyAlignment="1">
      <alignment horizontal="left" wrapText="1"/>
    </xf>
    <xf numFmtId="0" fontId="8" fillId="0" borderId="0" xfId="0" applyFont="1" applyAlignment="1">
      <alignment wrapText="1"/>
    </xf>
    <xf numFmtId="3" fontId="5" fillId="0" borderId="0" xfId="0" applyNumberFormat="1" applyFont="1" applyAlignment="1">
      <alignment horizontal="right"/>
    </xf>
    <xf numFmtId="0" fontId="6" fillId="0" borderId="0" xfId="0" applyFont="1"/>
    <xf numFmtId="0" fontId="5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5" fillId="0" borderId="11" xfId="0" applyFont="1" applyBorder="1" applyAlignment="1">
      <alignment horizontal="left" wrapText="1"/>
    </xf>
    <xf numFmtId="0" fontId="10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right" vertical="center"/>
    </xf>
    <xf numFmtId="0" fontId="5" fillId="0" borderId="12" xfId="0" quotePrefix="1" applyFont="1" applyBorder="1" applyAlignment="1">
      <alignment horizontal="center" wrapText="1"/>
    </xf>
    <xf numFmtId="0" fontId="5" fillId="0" borderId="9" xfId="0" quotePrefix="1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wrapText="1"/>
    </xf>
    <xf numFmtId="0" fontId="8" fillId="9" borderId="13" xfId="0" applyFont="1" applyFill="1" applyBorder="1" applyAlignment="1">
      <alignment vertical="center"/>
    </xf>
    <xf numFmtId="4" fontId="5" fillId="9" borderId="1" xfId="0" applyNumberFormat="1" applyFont="1" applyFill="1" applyBorder="1" applyAlignment="1">
      <alignment horizontal="right"/>
    </xf>
    <xf numFmtId="4" fontId="5" fillId="0" borderId="1" xfId="0" applyNumberFormat="1" applyFont="1" applyBorder="1" applyAlignment="1">
      <alignment horizontal="right"/>
    </xf>
    <xf numFmtId="0" fontId="7" fillId="9" borderId="12" xfId="0" applyFont="1" applyFill="1" applyBorder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/>
    <xf numFmtId="0" fontId="7" fillId="0" borderId="1" xfId="0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right"/>
    </xf>
    <xf numFmtId="0" fontId="7" fillId="9" borderId="1" xfId="0" applyFont="1" applyFill="1" applyBorder="1" applyAlignment="1">
      <alignment horizontal="left" vertical="center" wrapText="1"/>
    </xf>
    <xf numFmtId="3" fontId="5" fillId="9" borderId="1" xfId="0" applyNumberFormat="1" applyFont="1" applyFill="1" applyBorder="1" applyAlignment="1">
      <alignment horizontal="right"/>
    </xf>
    <xf numFmtId="0" fontId="11" fillId="0" borderId="0" xfId="0" applyFont="1" applyAlignment="1">
      <alignment horizontal="center"/>
    </xf>
    <xf numFmtId="3" fontId="7" fillId="4" borderId="1" xfId="2" applyNumberFormat="1" applyFont="1" applyFill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/>
    <xf numFmtId="0" fontId="14" fillId="0" borderId="0" xfId="2" applyFont="1" applyAlignment="1">
      <alignment horizontal="center" vertical="center"/>
    </xf>
    <xf numFmtId="3" fontId="7" fillId="4" borderId="1" xfId="2" applyNumberFormat="1" applyFont="1" applyFill="1" applyBorder="1" applyAlignment="1">
      <alignment horizontal="center" vertical="center"/>
    </xf>
    <xf numFmtId="0" fontId="7" fillId="10" borderId="1" xfId="2" applyFont="1" applyFill="1" applyBorder="1" applyAlignment="1">
      <alignment horizontal="center" vertical="center"/>
    </xf>
    <xf numFmtId="0" fontId="7" fillId="10" borderId="1" xfId="2" applyFont="1" applyFill="1" applyBorder="1" applyAlignment="1">
      <alignment horizontal="center" vertical="center" wrapText="1"/>
    </xf>
    <xf numFmtId="165" fontId="7" fillId="10" borderId="1" xfId="2" applyNumberFormat="1" applyFont="1" applyFill="1" applyBorder="1" applyAlignment="1">
      <alignment horizontal="right" vertical="center"/>
    </xf>
    <xf numFmtId="0" fontId="7" fillId="0" borderId="1" xfId="2" applyFont="1" applyBorder="1" applyAlignment="1">
      <alignment horizontal="center" vertical="center"/>
    </xf>
    <xf numFmtId="0" fontId="7" fillId="9" borderId="1" xfId="2" applyFont="1" applyFill="1" applyBorder="1" applyAlignment="1">
      <alignment horizontal="center" vertical="center" wrapText="1"/>
    </xf>
    <xf numFmtId="0" fontId="7" fillId="9" borderId="1" xfId="2" applyFont="1" applyFill="1" applyBorder="1" applyAlignment="1">
      <alignment horizontal="left" vertical="center"/>
    </xf>
    <xf numFmtId="165" fontId="7" fillId="9" borderId="1" xfId="2" applyNumberFormat="1" applyFont="1" applyFill="1" applyBorder="1" applyAlignment="1">
      <alignment horizontal="right" vertical="center"/>
    </xf>
    <xf numFmtId="0" fontId="10" fillId="0" borderId="0" xfId="0" applyFont="1"/>
    <xf numFmtId="0" fontId="16" fillId="0" borderId="0" xfId="0" applyFont="1"/>
    <xf numFmtId="0" fontId="7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left" vertical="center" wrapText="1"/>
    </xf>
    <xf numFmtId="165" fontId="7" fillId="0" borderId="1" xfId="2" applyNumberFormat="1" applyFont="1" applyBorder="1" applyAlignment="1">
      <alignment horizontal="right" vertical="center"/>
    </xf>
    <xf numFmtId="0" fontId="8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left" vertical="center"/>
    </xf>
    <xf numFmtId="165" fontId="8" fillId="0" borderId="1" xfId="2" applyNumberFormat="1" applyFont="1" applyBorder="1" applyAlignment="1">
      <alignment vertical="center"/>
    </xf>
    <xf numFmtId="0" fontId="7" fillId="0" borderId="1" xfId="2" applyFont="1" applyBorder="1" applyAlignment="1">
      <alignment horizontal="left" vertical="center"/>
    </xf>
    <xf numFmtId="0" fontId="7" fillId="0" borderId="1" xfId="2" applyFont="1" applyBorder="1" applyAlignment="1">
      <alignment vertical="center"/>
    </xf>
    <xf numFmtId="165" fontId="7" fillId="0" borderId="1" xfId="2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8" fillId="0" borderId="1" xfId="2" applyFont="1" applyBorder="1" applyAlignment="1">
      <alignment horizontal="center" vertical="center"/>
    </xf>
    <xf numFmtId="49" fontId="8" fillId="4" borderId="1" xfId="2" applyNumberFormat="1" applyFont="1" applyFill="1" applyBorder="1" applyAlignment="1">
      <alignment horizontal="left" vertical="center" wrapText="1"/>
    </xf>
    <xf numFmtId="0" fontId="7" fillId="0" borderId="1" xfId="2" applyFont="1" applyBorder="1" applyAlignment="1">
      <alignment vertical="center" wrapText="1"/>
    </xf>
    <xf numFmtId="0" fontId="8" fillId="0" borderId="1" xfId="2" applyFont="1" applyBorder="1" applyAlignment="1">
      <alignment vertical="center" wrapText="1"/>
    </xf>
    <xf numFmtId="0" fontId="7" fillId="9" borderId="1" xfId="2" applyFont="1" applyFill="1" applyBorder="1" applyAlignment="1">
      <alignment horizontal="center" vertical="center"/>
    </xf>
    <xf numFmtId="0" fontId="7" fillId="9" borderId="1" xfId="2" applyFont="1" applyFill="1" applyBorder="1" applyAlignment="1">
      <alignment vertical="center"/>
    </xf>
    <xf numFmtId="165" fontId="7" fillId="9" borderId="1" xfId="2" applyNumberFormat="1" applyFont="1" applyFill="1" applyBorder="1" applyAlignment="1">
      <alignment vertical="center"/>
    </xf>
    <xf numFmtId="0" fontId="8" fillId="0" borderId="1" xfId="2" applyFont="1" applyBorder="1" applyAlignment="1">
      <alignment vertical="center"/>
    </xf>
    <xf numFmtId="0" fontId="7" fillId="2" borderId="1" xfId="2" applyFont="1" applyFill="1" applyBorder="1" applyAlignment="1">
      <alignment horizontal="center" vertical="center"/>
    </xf>
    <xf numFmtId="165" fontId="7" fillId="2" borderId="1" xfId="2" applyNumberFormat="1" applyFont="1" applyFill="1" applyBorder="1" applyAlignment="1">
      <alignment vertical="center"/>
    </xf>
    <xf numFmtId="0" fontId="8" fillId="2" borderId="1" xfId="2" applyFont="1" applyFill="1" applyBorder="1" applyAlignment="1">
      <alignment horizontal="center" vertical="center"/>
    </xf>
    <xf numFmtId="165" fontId="8" fillId="2" borderId="1" xfId="2" applyNumberFormat="1" applyFont="1" applyFill="1" applyBorder="1" applyAlignment="1">
      <alignment vertical="center"/>
    </xf>
    <xf numFmtId="49" fontId="7" fillId="7" borderId="1" xfId="2" applyNumberFormat="1" applyFont="1" applyFill="1" applyBorder="1" applyAlignment="1">
      <alignment horizontal="left" vertical="center" wrapText="1"/>
    </xf>
    <xf numFmtId="49" fontId="7" fillId="10" borderId="1" xfId="2" applyNumberFormat="1" applyFont="1" applyFill="1" applyBorder="1" applyAlignment="1">
      <alignment horizontal="left" vertical="center" wrapText="1"/>
    </xf>
    <xf numFmtId="165" fontId="7" fillId="10" borderId="1" xfId="2" applyNumberFormat="1" applyFont="1" applyFill="1" applyBorder="1" applyAlignment="1">
      <alignment vertical="center"/>
    </xf>
    <xf numFmtId="49" fontId="7" fillId="9" borderId="1" xfId="2" applyNumberFormat="1" applyFont="1" applyFill="1" applyBorder="1" applyAlignment="1">
      <alignment horizontal="left" vertical="center" wrapText="1"/>
    </xf>
    <xf numFmtId="0" fontId="7" fillId="12" borderId="9" xfId="2" applyFont="1" applyFill="1" applyBorder="1" applyAlignment="1">
      <alignment horizontal="center" vertical="center"/>
    </xf>
    <xf numFmtId="165" fontId="7" fillId="12" borderId="1" xfId="2" applyNumberFormat="1" applyFont="1" applyFill="1" applyBorder="1" applyAlignment="1">
      <alignment vertical="center"/>
    </xf>
    <xf numFmtId="3" fontId="8" fillId="4" borderId="1" xfId="2" applyNumberFormat="1" applyFont="1" applyFill="1" applyBorder="1" applyAlignment="1">
      <alignment horizontal="center" vertical="center" wrapText="1"/>
    </xf>
    <xf numFmtId="0" fontId="8" fillId="4" borderId="1" xfId="2" applyFont="1" applyFill="1" applyBorder="1" applyAlignment="1">
      <alignment horizontal="center" vertical="center" wrapText="1"/>
    </xf>
    <xf numFmtId="0" fontId="17" fillId="0" borderId="0" xfId="2" applyFont="1"/>
    <xf numFmtId="0" fontId="7" fillId="0" borderId="0" xfId="2" applyFont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8" fillId="0" borderId="15" xfId="2" applyFont="1" applyBorder="1"/>
    <xf numFmtId="3" fontId="8" fillId="0" borderId="15" xfId="2" applyNumberFormat="1" applyFont="1" applyBorder="1"/>
    <xf numFmtId="3" fontId="8" fillId="4" borderId="9" xfId="2" applyNumberFormat="1" applyFont="1" applyFill="1" applyBorder="1" applyAlignment="1">
      <alignment horizontal="center" vertical="center" wrapText="1"/>
    </xf>
    <xf numFmtId="165" fontId="8" fillId="0" borderId="1" xfId="2" applyNumberFormat="1" applyFont="1" applyBorder="1"/>
    <xf numFmtId="165" fontId="8" fillId="0" borderId="1" xfId="2" applyNumberFormat="1" applyFont="1" applyBorder="1" applyAlignment="1">
      <alignment horizontal="right" vertical="center"/>
    </xf>
    <xf numFmtId="0" fontId="8" fillId="0" borderId="1" xfId="2" applyFont="1" applyBorder="1"/>
    <xf numFmtId="0" fontId="7" fillId="0" borderId="1" xfId="2" applyFont="1" applyBorder="1"/>
    <xf numFmtId="165" fontId="7" fillId="0" borderId="1" xfId="2" applyNumberFormat="1" applyFont="1" applyBorder="1"/>
    <xf numFmtId="0" fontId="8" fillId="0" borderId="1" xfId="2" applyFont="1" applyBorder="1" applyAlignment="1">
      <alignment wrapText="1"/>
    </xf>
    <xf numFmtId="0" fontId="7" fillId="0" borderId="1" xfId="2" applyFont="1" applyBorder="1" applyAlignment="1">
      <alignment wrapText="1"/>
    </xf>
    <xf numFmtId="0" fontId="7" fillId="9" borderId="1" xfId="2" applyFont="1" applyFill="1" applyBorder="1"/>
    <xf numFmtId="165" fontId="7" fillId="9" borderId="1" xfId="2" applyNumberFormat="1" applyFont="1" applyFill="1" applyBorder="1"/>
    <xf numFmtId="0" fontId="18" fillId="0" borderId="0" xfId="2" applyFont="1"/>
    <xf numFmtId="165" fontId="7" fillId="10" borderId="1" xfId="2" applyNumberFormat="1" applyFont="1" applyFill="1" applyBorder="1"/>
    <xf numFmtId="165" fontId="7" fillId="12" borderId="1" xfId="2" applyNumberFormat="1" applyFont="1" applyFill="1" applyBorder="1"/>
    <xf numFmtId="0" fontId="8" fillId="0" borderId="0" xfId="2" applyFont="1"/>
    <xf numFmtId="3" fontId="8" fillId="0" borderId="0" xfId="2" applyNumberFormat="1" applyFont="1"/>
    <xf numFmtId="0" fontId="19" fillId="0" borderId="9" xfId="2" applyFont="1" applyBorder="1" applyAlignment="1">
      <alignment horizontal="center"/>
    </xf>
    <xf numFmtId="3" fontId="19" fillId="0" borderId="1" xfId="2" applyNumberFormat="1" applyFont="1" applyBorder="1" applyAlignment="1">
      <alignment horizontal="center"/>
    </xf>
    <xf numFmtId="0" fontId="19" fillId="0" borderId="1" xfId="2" applyFont="1" applyBorder="1" applyAlignment="1">
      <alignment horizontal="center"/>
    </xf>
    <xf numFmtId="0" fontId="7" fillId="10" borderId="1" xfId="2" applyFont="1" applyFill="1" applyBorder="1"/>
    <xf numFmtId="0" fontId="7" fillId="13" borderId="1" xfId="2" applyFont="1" applyFill="1" applyBorder="1"/>
    <xf numFmtId="165" fontId="7" fillId="13" borderId="1" xfId="2" applyNumberFormat="1" applyFont="1" applyFill="1" applyBorder="1"/>
    <xf numFmtId="0" fontId="17" fillId="0" borderId="1" xfId="2" applyFont="1" applyBorder="1"/>
    <xf numFmtId="0" fontId="18" fillId="0" borderId="1" xfId="2" applyFont="1" applyBorder="1"/>
    <xf numFmtId="0" fontId="7" fillId="0" borderId="12" xfId="2" applyFont="1" applyBorder="1" applyAlignment="1">
      <alignment horizontal="center" vertical="center"/>
    </xf>
    <xf numFmtId="165" fontId="8" fillId="0" borderId="0" xfId="2" applyNumberFormat="1" applyFont="1"/>
    <xf numFmtId="166" fontId="7" fillId="0" borderId="1" xfId="2" applyNumberFormat="1" applyFont="1" applyBorder="1"/>
    <xf numFmtId="2" fontId="17" fillId="0" borderId="0" xfId="2" applyNumberFormat="1" applyFont="1"/>
    <xf numFmtId="0" fontId="7" fillId="0" borderId="1" xfId="2" applyFont="1" applyBorder="1" applyAlignment="1">
      <alignment horizontal="center"/>
    </xf>
    <xf numFmtId="0" fontId="8" fillId="0" borderId="1" xfId="2" applyFont="1" applyBorder="1" applyAlignment="1">
      <alignment horizontal="center"/>
    </xf>
    <xf numFmtId="166" fontId="8" fillId="0" borderId="1" xfId="2" applyNumberFormat="1" applyFont="1" applyBorder="1"/>
    <xf numFmtId="3" fontId="8" fillId="0" borderId="1" xfId="2" applyNumberFormat="1" applyFont="1" applyBorder="1"/>
    <xf numFmtId="0" fontId="20" fillId="2" borderId="0" xfId="1" applyFont="1" applyFill="1" applyAlignment="1">
      <alignment horizontal="center" vertical="center" wrapText="1"/>
    </xf>
    <xf numFmtId="0" fontId="20" fillId="2" borderId="0" xfId="1" applyFont="1" applyFill="1" applyAlignment="1">
      <alignment horizontal="center" vertical="center"/>
    </xf>
    <xf numFmtId="165" fontId="20" fillId="2" borderId="0" xfId="1" applyNumberFormat="1" applyFont="1" applyFill="1" applyAlignment="1">
      <alignment horizontal="center" vertical="center" wrapText="1"/>
    </xf>
    <xf numFmtId="0" fontId="20" fillId="4" borderId="2" xfId="2" applyFont="1" applyFill="1" applyBorder="1" applyAlignment="1">
      <alignment horizontal="center" vertical="center" wrapText="1"/>
    </xf>
    <xf numFmtId="0" fontId="21" fillId="4" borderId="1" xfId="2" applyFont="1" applyFill="1" applyBorder="1" applyAlignment="1">
      <alignment horizontal="center" vertical="center" wrapText="1"/>
    </xf>
    <xf numFmtId="3" fontId="20" fillId="4" borderId="6" xfId="2" applyNumberFormat="1" applyFont="1" applyFill="1" applyBorder="1" applyAlignment="1">
      <alignment horizontal="right" vertical="center"/>
    </xf>
    <xf numFmtId="165" fontId="20" fillId="4" borderId="7" xfId="2" applyNumberFormat="1" applyFont="1" applyFill="1" applyBorder="1" applyAlignment="1">
      <alignment horizontal="right" vertical="center"/>
    </xf>
    <xf numFmtId="3" fontId="22" fillId="0" borderId="0" xfId="2" applyNumberFormat="1" applyFont="1" applyAlignment="1">
      <alignment vertical="center"/>
    </xf>
    <xf numFmtId="0" fontId="17" fillId="0" borderId="0" xfId="2" applyFont="1" applyAlignment="1">
      <alignment vertical="center"/>
    </xf>
    <xf numFmtId="165" fontId="20" fillId="4" borderId="7" xfId="2" applyNumberFormat="1" applyFont="1" applyFill="1" applyBorder="1" applyAlignment="1">
      <alignment vertical="center"/>
    </xf>
    <xf numFmtId="3" fontId="20" fillId="4" borderId="1" xfId="2" applyNumberFormat="1" applyFont="1" applyFill="1" applyBorder="1" applyAlignment="1">
      <alignment horizontal="center" vertical="center" wrapText="1"/>
    </xf>
    <xf numFmtId="3" fontId="20" fillId="5" borderId="1" xfId="2" applyNumberFormat="1" applyFont="1" applyFill="1" applyBorder="1" applyAlignment="1">
      <alignment horizontal="center" vertical="center" wrapText="1"/>
    </xf>
    <xf numFmtId="3" fontId="20" fillId="4" borderId="1" xfId="2" applyNumberFormat="1" applyFont="1" applyFill="1" applyBorder="1" applyAlignment="1">
      <alignment horizontal="center" vertical="center"/>
    </xf>
    <xf numFmtId="0" fontId="23" fillId="3" borderId="1" xfId="2" applyFont="1" applyFill="1" applyBorder="1" applyAlignment="1">
      <alignment horizontal="center" vertical="center" wrapText="1"/>
    </xf>
    <xf numFmtId="0" fontId="24" fillId="3" borderId="1" xfId="2" applyFont="1" applyFill="1" applyBorder="1" applyAlignment="1">
      <alignment horizontal="center" vertical="center" wrapText="1"/>
    </xf>
    <xf numFmtId="0" fontId="24" fillId="0" borderId="1" xfId="2" applyFont="1" applyBorder="1" applyAlignment="1">
      <alignment horizontal="center" vertical="center"/>
    </xf>
    <xf numFmtId="3" fontId="20" fillId="6" borderId="1" xfId="2" applyNumberFormat="1" applyFont="1" applyFill="1" applyBorder="1" applyAlignment="1">
      <alignment horizontal="center" vertical="center" wrapText="1"/>
    </xf>
    <xf numFmtId="3" fontId="20" fillId="6" borderId="1" xfId="2" applyNumberFormat="1" applyFont="1" applyFill="1" applyBorder="1" applyAlignment="1">
      <alignment horizontal="right" vertical="center" wrapText="1"/>
    </xf>
    <xf numFmtId="3" fontId="20" fillId="6" borderId="1" xfId="2" applyNumberFormat="1" applyFont="1" applyFill="1" applyBorder="1" applyAlignment="1">
      <alignment horizontal="left" vertical="center"/>
    </xf>
    <xf numFmtId="165" fontId="20" fillId="6" borderId="1" xfId="2" applyNumberFormat="1" applyFont="1" applyFill="1" applyBorder="1" applyAlignment="1">
      <alignment horizontal="right" vertical="center" wrapText="1"/>
    </xf>
    <xf numFmtId="3" fontId="20" fillId="0" borderId="0" xfId="2" applyNumberFormat="1" applyFont="1" applyAlignment="1">
      <alignment vertical="center"/>
    </xf>
    <xf numFmtId="0" fontId="18" fillId="0" borderId="0" xfId="2" applyFont="1" applyAlignment="1">
      <alignment vertical="center"/>
    </xf>
    <xf numFmtId="0" fontId="17" fillId="0" borderId="1" xfId="2" applyFont="1" applyBorder="1" applyAlignment="1">
      <alignment vertical="center"/>
    </xf>
    <xf numFmtId="49" fontId="20" fillId="7" borderId="1" xfId="2" applyNumberFormat="1" applyFont="1" applyFill="1" applyBorder="1" applyAlignment="1">
      <alignment horizontal="right" vertical="center"/>
    </xf>
    <xf numFmtId="49" fontId="20" fillId="7" borderId="1" xfId="2" applyNumberFormat="1" applyFont="1" applyFill="1" applyBorder="1" applyAlignment="1">
      <alignment horizontal="center" vertical="center"/>
    </xf>
    <xf numFmtId="49" fontId="20" fillId="7" borderId="1" xfId="2" applyNumberFormat="1" applyFont="1" applyFill="1" applyBorder="1" applyAlignment="1">
      <alignment horizontal="left" vertical="center" wrapText="1"/>
    </xf>
    <xf numFmtId="165" fontId="20" fillId="7" borderId="1" xfId="2" applyNumberFormat="1" applyFont="1" applyFill="1" applyBorder="1" applyAlignment="1">
      <alignment horizontal="right" vertical="center"/>
    </xf>
    <xf numFmtId="49" fontId="20" fillId="3" borderId="1" xfId="2" applyNumberFormat="1" applyFont="1" applyFill="1" applyBorder="1" applyAlignment="1">
      <alignment horizontal="right" vertical="center"/>
    </xf>
    <xf numFmtId="49" fontId="20" fillId="3" borderId="1" xfId="2" applyNumberFormat="1" applyFont="1" applyFill="1" applyBorder="1" applyAlignment="1">
      <alignment horizontal="center" vertical="center"/>
    </xf>
    <xf numFmtId="49" fontId="20" fillId="3" borderId="1" xfId="2" applyNumberFormat="1" applyFont="1" applyFill="1" applyBorder="1" applyAlignment="1">
      <alignment horizontal="left" vertical="center" wrapText="1"/>
    </xf>
    <xf numFmtId="165" fontId="20" fillId="3" borderId="1" xfId="2" applyNumberFormat="1" applyFont="1" applyFill="1" applyBorder="1" applyAlignment="1">
      <alignment horizontal="right" vertical="center"/>
    </xf>
    <xf numFmtId="49" fontId="22" fillId="3" borderId="1" xfId="2" applyNumberFormat="1" applyFont="1" applyFill="1" applyBorder="1" applyAlignment="1">
      <alignment horizontal="right" vertical="center"/>
    </xf>
    <xf numFmtId="49" fontId="22" fillId="3" borderId="1" xfId="2" applyNumberFormat="1" applyFont="1" applyFill="1" applyBorder="1" applyAlignment="1">
      <alignment horizontal="center" vertical="center"/>
    </xf>
    <xf numFmtId="49" fontId="22" fillId="3" borderId="1" xfId="2" applyNumberFormat="1" applyFont="1" applyFill="1" applyBorder="1" applyAlignment="1">
      <alignment horizontal="left" vertical="center" wrapText="1"/>
    </xf>
    <xf numFmtId="165" fontId="22" fillId="3" borderId="1" xfId="2" applyNumberFormat="1" applyFont="1" applyFill="1" applyBorder="1" applyAlignment="1">
      <alignment horizontal="right" vertical="center"/>
    </xf>
    <xf numFmtId="0" fontId="12" fillId="0" borderId="1" xfId="2" applyFont="1" applyBorder="1" applyAlignment="1">
      <alignment vertical="center"/>
    </xf>
    <xf numFmtId="0" fontId="12" fillId="0" borderId="1" xfId="2" applyFont="1" applyBorder="1" applyAlignment="1">
      <alignment horizontal="right" vertical="center"/>
    </xf>
    <xf numFmtId="0" fontId="25" fillId="8" borderId="1" xfId="2" applyFont="1" applyFill="1" applyBorder="1" applyAlignment="1">
      <alignment horizontal="center" vertical="center"/>
    </xf>
    <xf numFmtId="49" fontId="25" fillId="8" borderId="1" xfId="2" applyNumberFormat="1" applyFont="1" applyFill="1" applyBorder="1" applyAlignment="1">
      <alignment horizontal="left" vertical="center" wrapText="1"/>
    </xf>
    <xf numFmtId="165" fontId="25" fillId="8" borderId="1" xfId="2" applyNumberFormat="1" applyFont="1" applyFill="1" applyBorder="1" applyAlignment="1">
      <alignment horizontal="right" vertical="center"/>
    </xf>
    <xf numFmtId="0" fontId="12" fillId="0" borderId="0" xfId="2" applyFont="1" applyAlignment="1">
      <alignment vertical="center"/>
    </xf>
    <xf numFmtId="0" fontId="18" fillId="0" borderId="1" xfId="2" applyFont="1" applyBorder="1" applyAlignment="1">
      <alignment vertical="center"/>
    </xf>
    <xf numFmtId="49" fontId="20" fillId="0" borderId="1" xfId="2" applyNumberFormat="1" applyFont="1" applyBorder="1" applyAlignment="1">
      <alignment horizontal="right" vertical="center"/>
    </xf>
    <xf numFmtId="49" fontId="20" fillId="0" borderId="1" xfId="2" applyNumberFormat="1" applyFont="1" applyBorder="1" applyAlignment="1">
      <alignment horizontal="center" vertical="center"/>
    </xf>
    <xf numFmtId="49" fontId="20" fillId="0" borderId="1" xfId="2" applyNumberFormat="1" applyFont="1" applyBorder="1" applyAlignment="1">
      <alignment horizontal="left" vertical="center" wrapText="1"/>
    </xf>
    <xf numFmtId="165" fontId="20" fillId="0" borderId="1" xfId="2" applyNumberFormat="1" applyFont="1" applyBorder="1" applyAlignment="1">
      <alignment horizontal="right" vertical="center"/>
    </xf>
    <xf numFmtId="49" fontId="20" fillId="4" borderId="1" xfId="2" applyNumberFormat="1" applyFont="1" applyFill="1" applyBorder="1" applyAlignment="1">
      <alignment horizontal="right" vertical="center"/>
    </xf>
    <xf numFmtId="49" fontId="20" fillId="4" borderId="1" xfId="2" applyNumberFormat="1" applyFont="1" applyFill="1" applyBorder="1" applyAlignment="1">
      <alignment horizontal="center" vertical="center"/>
    </xf>
    <xf numFmtId="49" fontId="20" fillId="4" borderId="1" xfId="2" applyNumberFormat="1" applyFont="1" applyFill="1" applyBorder="1" applyAlignment="1">
      <alignment horizontal="left" vertical="center" wrapText="1"/>
    </xf>
    <xf numFmtId="165" fontId="20" fillId="4" borderId="1" xfId="2" applyNumberFormat="1" applyFont="1" applyFill="1" applyBorder="1" applyAlignment="1">
      <alignment horizontal="right" vertical="center"/>
    </xf>
    <xf numFmtId="49" fontId="22" fillId="4" borderId="1" xfId="2" applyNumberFormat="1" applyFont="1" applyFill="1" applyBorder="1" applyAlignment="1">
      <alignment horizontal="right" vertical="center"/>
    </xf>
    <xf numFmtId="49" fontId="22" fillId="4" borderId="1" xfId="2" applyNumberFormat="1" applyFont="1" applyFill="1" applyBorder="1" applyAlignment="1">
      <alignment horizontal="left" vertical="center" wrapText="1"/>
    </xf>
    <xf numFmtId="165" fontId="22" fillId="4" borderId="1" xfId="2" applyNumberFormat="1" applyFont="1" applyFill="1" applyBorder="1" applyAlignment="1">
      <alignment horizontal="right" vertical="center"/>
    </xf>
    <xf numFmtId="165" fontId="22" fillId="0" borderId="1" xfId="2" applyNumberFormat="1" applyFont="1" applyBorder="1" applyAlignment="1">
      <alignment horizontal="right" vertical="center"/>
    </xf>
    <xf numFmtId="3" fontId="21" fillId="0" borderId="0" xfId="2" applyNumberFormat="1" applyFont="1" applyAlignment="1">
      <alignment vertical="center"/>
    </xf>
    <xf numFmtId="0" fontId="20" fillId="9" borderId="1" xfId="2" applyFont="1" applyFill="1" applyBorder="1" applyAlignment="1">
      <alignment horizontal="right" vertical="center"/>
    </xf>
    <xf numFmtId="0" fontId="20" fillId="9" borderId="1" xfId="2" applyFont="1" applyFill="1" applyBorder="1" applyAlignment="1">
      <alignment horizontal="center" vertical="center"/>
    </xf>
    <xf numFmtId="49" fontId="20" fillId="9" borderId="1" xfId="2" applyNumberFormat="1" applyFont="1" applyFill="1" applyBorder="1" applyAlignment="1">
      <alignment horizontal="left" vertical="center" wrapText="1"/>
    </xf>
    <xf numFmtId="165" fontId="20" fillId="9" borderId="1" xfId="2" applyNumberFormat="1" applyFont="1" applyFill="1" applyBorder="1" applyAlignment="1">
      <alignment horizontal="right" vertical="center"/>
    </xf>
    <xf numFmtId="0" fontId="20" fillId="0" borderId="1" xfId="2" applyFont="1" applyBorder="1" applyAlignment="1">
      <alignment horizontal="right" vertical="center"/>
    </xf>
    <xf numFmtId="0" fontId="20" fillId="0" borderId="1" xfId="2" applyFont="1" applyBorder="1" applyAlignment="1">
      <alignment horizontal="center" vertical="center"/>
    </xf>
    <xf numFmtId="0" fontId="20" fillId="7" borderId="1" xfId="2" applyFont="1" applyFill="1" applyBorder="1" applyAlignment="1">
      <alignment horizontal="right" vertical="center"/>
    </xf>
    <xf numFmtId="0" fontId="20" fillId="7" borderId="1" xfId="2" applyFont="1" applyFill="1" applyBorder="1" applyAlignment="1">
      <alignment horizontal="center" vertical="center"/>
    </xf>
    <xf numFmtId="0" fontId="20" fillId="7" borderId="1" xfId="2" applyFont="1" applyFill="1" applyBorder="1" applyAlignment="1">
      <alignment horizontal="left" vertical="center" wrapText="1"/>
    </xf>
    <xf numFmtId="0" fontId="20" fillId="4" borderId="1" xfId="2" applyFont="1" applyFill="1" applyBorder="1" applyAlignment="1">
      <alignment horizontal="right" vertical="center"/>
    </xf>
    <xf numFmtId="0" fontId="20" fillId="4" borderId="1" xfId="2" applyFont="1" applyFill="1" applyBorder="1" applyAlignment="1">
      <alignment horizontal="center" vertical="center"/>
    </xf>
    <xf numFmtId="0" fontId="20" fillId="4" borderId="1" xfId="2" applyFont="1" applyFill="1" applyBorder="1" applyAlignment="1">
      <alignment horizontal="left" vertical="center" wrapText="1"/>
    </xf>
    <xf numFmtId="0" fontId="22" fillId="4" borderId="1" xfId="2" applyFont="1" applyFill="1" applyBorder="1" applyAlignment="1">
      <alignment horizontal="right" vertical="center"/>
    </xf>
    <xf numFmtId="0" fontId="22" fillId="4" borderId="1" xfId="2" applyFont="1" applyFill="1" applyBorder="1" applyAlignment="1">
      <alignment horizontal="center" vertical="center"/>
    </xf>
    <xf numFmtId="0" fontId="22" fillId="4" borderId="1" xfId="2" applyFont="1" applyFill="1" applyBorder="1" applyAlignment="1">
      <alignment horizontal="left" vertical="center" wrapText="1"/>
    </xf>
    <xf numFmtId="49" fontId="22" fillId="4" borderId="1" xfId="2" applyNumberFormat="1" applyFont="1" applyFill="1" applyBorder="1" applyAlignment="1">
      <alignment horizontal="center" vertical="center"/>
    </xf>
    <xf numFmtId="0" fontId="21" fillId="0" borderId="1" xfId="2" applyFont="1" applyBorder="1"/>
    <xf numFmtId="0" fontId="26" fillId="0" borderId="1" xfId="2" applyFont="1" applyBorder="1"/>
    <xf numFmtId="0" fontId="23" fillId="0" borderId="1" xfId="2" applyFont="1" applyBorder="1" applyAlignment="1">
      <alignment horizontal="center" vertical="center"/>
    </xf>
    <xf numFmtId="0" fontId="22" fillId="0" borderId="1" xfId="2" applyFont="1" applyBorder="1" applyAlignment="1">
      <alignment horizontal="right" vertical="center"/>
    </xf>
    <xf numFmtId="49" fontId="22" fillId="0" borderId="1" xfId="2" applyNumberFormat="1" applyFont="1" applyBorder="1" applyAlignment="1">
      <alignment horizontal="left" vertical="center" wrapText="1"/>
    </xf>
    <xf numFmtId="165" fontId="20" fillId="7" borderId="1" xfId="2" applyNumberFormat="1" applyFont="1" applyFill="1" applyBorder="1" applyAlignment="1">
      <alignment horizontal="right" vertical="center" wrapText="1"/>
    </xf>
    <xf numFmtId="165" fontId="20" fillId="4" borderId="1" xfId="2" applyNumberFormat="1" applyFont="1" applyFill="1" applyBorder="1" applyAlignment="1">
      <alignment horizontal="right" vertical="center" wrapText="1"/>
    </xf>
    <xf numFmtId="165" fontId="22" fillId="4" borderId="1" xfId="2" applyNumberFormat="1" applyFont="1" applyFill="1" applyBorder="1" applyAlignment="1">
      <alignment horizontal="right" vertical="center" wrapText="1"/>
    </xf>
    <xf numFmtId="165" fontId="26" fillId="0" borderId="1" xfId="2" applyNumberFormat="1" applyFont="1" applyBorder="1"/>
    <xf numFmtId="3" fontId="27" fillId="0" borderId="0" xfId="2" applyNumberFormat="1" applyFont="1" applyAlignment="1">
      <alignment vertical="center"/>
    </xf>
    <xf numFmtId="0" fontId="27" fillId="0" borderId="0" xfId="2" applyFont="1" applyAlignment="1">
      <alignment vertical="center"/>
    </xf>
    <xf numFmtId="0" fontId="20" fillId="0" borderId="1" xfId="2" applyFont="1" applyBorder="1" applyAlignment="1">
      <alignment vertical="center"/>
    </xf>
    <xf numFmtId="0" fontId="22" fillId="0" borderId="0" xfId="2" applyFont="1" applyAlignment="1">
      <alignment vertical="center"/>
    </xf>
    <xf numFmtId="0" fontId="20" fillId="3" borderId="1" xfId="2" applyFont="1" applyFill="1" applyBorder="1" applyAlignment="1">
      <alignment horizontal="center" vertical="center"/>
    </xf>
    <xf numFmtId="0" fontId="22" fillId="3" borderId="1" xfId="2" applyFont="1" applyFill="1" applyBorder="1" applyAlignment="1">
      <alignment horizontal="center" vertical="center"/>
    </xf>
    <xf numFmtId="0" fontId="17" fillId="2" borderId="1" xfId="2" applyFont="1" applyFill="1" applyBorder="1" applyAlignment="1">
      <alignment vertical="center"/>
    </xf>
    <xf numFmtId="0" fontId="18" fillId="0" borderId="1" xfId="2" applyFont="1" applyBorder="1" applyAlignment="1">
      <alignment horizontal="right" vertical="center"/>
    </xf>
    <xf numFmtId="0" fontId="26" fillId="0" borderId="1" xfId="2" applyFont="1" applyBorder="1" applyAlignment="1">
      <alignment vertical="center"/>
    </xf>
    <xf numFmtId="0" fontId="18" fillId="10" borderId="1" xfId="2" applyFont="1" applyFill="1" applyBorder="1" applyAlignment="1">
      <alignment vertical="center"/>
    </xf>
    <xf numFmtId="0" fontId="20" fillId="10" borderId="1" xfId="2" applyFont="1" applyFill="1" applyBorder="1" applyAlignment="1">
      <alignment horizontal="center" vertical="center"/>
    </xf>
    <xf numFmtId="49" fontId="20" fillId="10" borderId="1" xfId="2" applyNumberFormat="1" applyFont="1" applyFill="1" applyBorder="1" applyAlignment="1">
      <alignment horizontal="left" vertical="center" wrapText="1"/>
    </xf>
    <xf numFmtId="165" fontId="20" fillId="10" borderId="1" xfId="2" applyNumberFormat="1" applyFont="1" applyFill="1" applyBorder="1" applyAlignment="1">
      <alignment horizontal="right" vertical="center"/>
    </xf>
    <xf numFmtId="0" fontId="20" fillId="9" borderId="1" xfId="2" applyFont="1" applyFill="1" applyBorder="1" applyAlignment="1">
      <alignment vertical="center"/>
    </xf>
    <xf numFmtId="0" fontId="18" fillId="0" borderId="3" xfId="2" applyFont="1" applyBorder="1" applyAlignment="1">
      <alignment vertical="center"/>
    </xf>
    <xf numFmtId="0" fontId="20" fillId="0" borderId="3" xfId="2" applyFont="1" applyBorder="1" applyAlignment="1">
      <alignment vertical="center"/>
    </xf>
    <xf numFmtId="0" fontId="20" fillId="0" borderId="3" xfId="2" applyFont="1" applyBorder="1" applyAlignment="1">
      <alignment horizontal="center" vertical="center"/>
    </xf>
    <xf numFmtId="49" fontId="20" fillId="0" borderId="3" xfId="2" applyNumberFormat="1" applyFont="1" applyBorder="1" applyAlignment="1">
      <alignment horizontal="left" vertical="center" wrapText="1"/>
    </xf>
    <xf numFmtId="165" fontId="25" fillId="8" borderId="3" xfId="2" applyNumberFormat="1" applyFont="1" applyFill="1" applyBorder="1" applyAlignment="1">
      <alignment horizontal="right" vertical="center"/>
    </xf>
    <xf numFmtId="3" fontId="23" fillId="4" borderId="0" xfId="2" applyNumberFormat="1" applyFont="1" applyFill="1" applyAlignment="1">
      <alignment horizontal="center" vertical="center"/>
    </xf>
    <xf numFmtId="0" fontId="17" fillId="2" borderId="0" xfId="2" applyFont="1" applyFill="1" applyAlignment="1">
      <alignment vertical="center"/>
    </xf>
    <xf numFmtId="165" fontId="23" fillId="4" borderId="0" xfId="2" applyNumberFormat="1" applyFont="1" applyFill="1" applyAlignment="1">
      <alignment horizontal="center" vertical="center"/>
    </xf>
    <xf numFmtId="49" fontId="20" fillId="6" borderId="8" xfId="2" applyNumberFormat="1" applyFont="1" applyFill="1" applyBorder="1" applyAlignment="1">
      <alignment horizontal="center" vertical="center"/>
    </xf>
    <xf numFmtId="0" fontId="20" fillId="10" borderId="8" xfId="2" applyFont="1" applyFill="1" applyBorder="1" applyAlignment="1">
      <alignment vertical="center"/>
    </xf>
    <xf numFmtId="49" fontId="20" fillId="6" borderId="8" xfId="2" applyNumberFormat="1" applyFont="1" applyFill="1" applyBorder="1" applyAlignment="1">
      <alignment vertical="center"/>
    </xf>
    <xf numFmtId="165" fontId="20" fillId="6" borderId="8" xfId="2" applyNumberFormat="1" applyFont="1" applyFill="1" applyBorder="1" applyAlignment="1">
      <alignment horizontal="right" vertical="center" wrapText="1"/>
    </xf>
    <xf numFmtId="49" fontId="20" fillId="7" borderId="1" xfId="2" applyNumberFormat="1" applyFont="1" applyFill="1" applyBorder="1" applyAlignment="1">
      <alignment vertical="center"/>
    </xf>
    <xf numFmtId="0" fontId="22" fillId="0" borderId="1" xfId="2" applyFont="1" applyBorder="1" applyAlignment="1">
      <alignment vertical="center"/>
    </xf>
    <xf numFmtId="49" fontId="22" fillId="0" borderId="1" xfId="2" applyNumberFormat="1" applyFont="1" applyBorder="1" applyAlignment="1">
      <alignment horizontal="right" vertical="center"/>
    </xf>
    <xf numFmtId="0" fontId="28" fillId="0" borderId="0" xfId="2" applyFont="1" applyAlignment="1">
      <alignment vertical="center"/>
    </xf>
    <xf numFmtId="0" fontId="29" fillId="0" borderId="0" xfId="2" applyFont="1" applyAlignment="1">
      <alignment vertical="center"/>
    </xf>
    <xf numFmtId="165" fontId="20" fillId="4" borderId="1" xfId="2" applyNumberFormat="1" applyFont="1" applyFill="1" applyBorder="1" applyAlignment="1">
      <alignment vertical="center"/>
    </xf>
    <xf numFmtId="165" fontId="22" fillId="4" borderId="1" xfId="2" applyNumberFormat="1" applyFont="1" applyFill="1" applyBorder="1" applyAlignment="1">
      <alignment vertical="center"/>
    </xf>
    <xf numFmtId="0" fontId="25" fillId="0" borderId="0" xfId="2" applyFont="1" applyAlignment="1">
      <alignment vertical="center"/>
    </xf>
    <xf numFmtId="0" fontId="22" fillId="0" borderId="1" xfId="2" applyFont="1" applyBorder="1" applyAlignment="1">
      <alignment vertical="center" wrapText="1"/>
    </xf>
    <xf numFmtId="3" fontId="22" fillId="0" borderId="0" xfId="2" applyNumberFormat="1" applyFont="1" applyAlignment="1">
      <alignment horizontal="right" vertical="center"/>
    </xf>
    <xf numFmtId="0" fontId="20" fillId="0" borderId="1" xfId="2" applyFont="1" applyBorder="1" applyAlignment="1">
      <alignment vertical="center" wrapText="1"/>
    </xf>
    <xf numFmtId="49" fontId="22" fillId="4" borderId="1" xfId="2" applyNumberFormat="1" applyFont="1" applyFill="1" applyBorder="1" applyAlignment="1">
      <alignment horizontal="left" vertical="center"/>
    </xf>
    <xf numFmtId="49" fontId="20" fillId="4" borderId="1" xfId="2" applyNumberFormat="1" applyFont="1" applyFill="1" applyBorder="1" applyAlignment="1">
      <alignment horizontal="left" vertical="center"/>
    </xf>
    <xf numFmtId="49" fontId="22" fillId="0" borderId="1" xfId="2" applyNumberFormat="1" applyFont="1" applyBorder="1" applyAlignment="1">
      <alignment horizontal="left" vertical="center"/>
    </xf>
    <xf numFmtId="0" fontId="18" fillId="9" borderId="1" xfId="2" applyFont="1" applyFill="1" applyBorder="1" applyAlignment="1">
      <alignment vertical="center"/>
    </xf>
    <xf numFmtId="49" fontId="20" fillId="9" borderId="1" xfId="2" applyNumberFormat="1" applyFont="1" applyFill="1" applyBorder="1" applyAlignment="1">
      <alignment horizontal="left" vertical="center"/>
    </xf>
    <xf numFmtId="49" fontId="20" fillId="0" borderId="1" xfId="2" applyNumberFormat="1" applyFont="1" applyBorder="1" applyAlignment="1">
      <alignment horizontal="left" vertical="center"/>
    </xf>
    <xf numFmtId="0" fontId="14" fillId="9" borderId="1" xfId="2" applyFont="1" applyFill="1" applyBorder="1"/>
    <xf numFmtId="0" fontId="14" fillId="0" borderId="1" xfId="2" applyFont="1" applyBorder="1"/>
    <xf numFmtId="0" fontId="15" fillId="0" borderId="1" xfId="2" applyFont="1" applyBorder="1"/>
    <xf numFmtId="49" fontId="20" fillId="0" borderId="1" xfId="2" applyNumberFormat="1" applyFont="1" applyBorder="1" applyAlignment="1">
      <alignment vertical="center"/>
    </xf>
    <xf numFmtId="49" fontId="22" fillId="0" borderId="1" xfId="2" applyNumberFormat="1" applyFont="1" applyBorder="1" applyAlignment="1">
      <alignment vertical="center"/>
    </xf>
    <xf numFmtId="49" fontId="20" fillId="6" borderId="1" xfId="2" applyNumberFormat="1" applyFont="1" applyFill="1" applyBorder="1" applyAlignment="1">
      <alignment horizontal="center" vertical="center"/>
    </xf>
    <xf numFmtId="0" fontId="20" fillId="6" borderId="1" xfId="2" applyFont="1" applyFill="1" applyBorder="1" applyAlignment="1">
      <alignment horizontal="right" vertical="center"/>
    </xf>
    <xf numFmtId="49" fontId="20" fillId="6" borderId="1" xfId="2" applyNumberFormat="1" applyFont="1" applyFill="1" applyBorder="1" applyAlignment="1">
      <alignment horizontal="right" vertical="center"/>
    </xf>
    <xf numFmtId="49" fontId="20" fillId="6" borderId="1" xfId="2" applyNumberFormat="1" applyFont="1" applyFill="1" applyBorder="1" applyAlignment="1">
      <alignment vertical="center"/>
    </xf>
    <xf numFmtId="49" fontId="20" fillId="7" borderId="1" xfId="2" applyNumberFormat="1" applyFont="1" applyFill="1" applyBorder="1" applyAlignment="1">
      <alignment vertical="center" wrapText="1"/>
    </xf>
    <xf numFmtId="49" fontId="20" fillId="0" borderId="1" xfId="2" applyNumberFormat="1" applyFont="1" applyBorder="1" applyAlignment="1">
      <alignment vertical="center" wrapText="1"/>
    </xf>
    <xf numFmtId="49" fontId="22" fillId="0" borderId="1" xfId="2" applyNumberFormat="1" applyFont="1" applyBorder="1" applyAlignment="1">
      <alignment vertical="center" wrapText="1"/>
    </xf>
    <xf numFmtId="49" fontId="20" fillId="4" borderId="1" xfId="2" applyNumberFormat="1" applyFont="1" applyFill="1" applyBorder="1" applyAlignment="1">
      <alignment vertical="center"/>
    </xf>
    <xf numFmtId="49" fontId="22" fillId="4" borderId="1" xfId="2" applyNumberFormat="1" applyFont="1" applyFill="1" applyBorder="1" applyAlignment="1">
      <alignment vertical="center"/>
    </xf>
    <xf numFmtId="0" fontId="25" fillId="0" borderId="1" xfId="2" applyFont="1" applyBorder="1" applyAlignment="1">
      <alignment vertical="center"/>
    </xf>
    <xf numFmtId="0" fontId="25" fillId="4" borderId="1" xfId="2" applyFont="1" applyFill="1" applyBorder="1" applyAlignment="1">
      <alignment horizontal="center" vertical="center"/>
    </xf>
    <xf numFmtId="165" fontId="25" fillId="5" borderId="1" xfId="2" applyNumberFormat="1" applyFont="1" applyFill="1" applyBorder="1" applyAlignment="1">
      <alignment horizontal="right" vertical="center" wrapText="1"/>
    </xf>
    <xf numFmtId="0" fontId="25" fillId="2" borderId="0" xfId="2" applyFont="1" applyFill="1" applyAlignment="1">
      <alignment vertical="center"/>
    </xf>
    <xf numFmtId="0" fontId="30" fillId="2" borderId="0" xfId="2" applyFont="1" applyFill="1" applyAlignment="1">
      <alignment vertical="center"/>
    </xf>
    <xf numFmtId="0" fontId="18" fillId="2" borderId="0" xfId="2" applyFont="1" applyFill="1" applyAlignment="1">
      <alignment vertical="center"/>
    </xf>
    <xf numFmtId="0" fontId="11" fillId="9" borderId="1" xfId="2" applyFont="1" applyFill="1" applyBorder="1" applyAlignment="1">
      <alignment horizontal="right" vertical="center"/>
    </xf>
    <xf numFmtId="0" fontId="11" fillId="9" borderId="1" xfId="2" applyFont="1" applyFill="1" applyBorder="1" applyAlignment="1">
      <alignment vertical="center"/>
    </xf>
    <xf numFmtId="0" fontId="11" fillId="9" borderId="1" xfId="2" applyFont="1" applyFill="1" applyBorder="1"/>
    <xf numFmtId="0" fontId="11" fillId="0" borderId="1" xfId="2" applyFont="1" applyBorder="1" applyAlignment="1">
      <alignment horizontal="right" vertical="center"/>
    </xf>
    <xf numFmtId="0" fontId="11" fillId="0" borderId="1" xfId="2" applyFont="1" applyBorder="1" applyAlignment="1">
      <alignment vertical="center"/>
    </xf>
    <xf numFmtId="0" fontId="11" fillId="0" borderId="1" xfId="2" applyFont="1" applyBorder="1"/>
    <xf numFmtId="0" fontId="13" fillId="0" borderId="1" xfId="2" applyFont="1" applyBorder="1" applyAlignment="1">
      <alignment horizontal="right" vertical="center"/>
    </xf>
    <xf numFmtId="0" fontId="13" fillId="0" borderId="1" xfId="2" applyFont="1" applyBorder="1" applyAlignment="1">
      <alignment vertical="center"/>
    </xf>
    <xf numFmtId="0" fontId="13" fillId="0" borderId="1" xfId="2" applyFont="1" applyBorder="1"/>
    <xf numFmtId="49" fontId="25" fillId="5" borderId="1" xfId="2" applyNumberFormat="1" applyFont="1" applyFill="1" applyBorder="1" applyAlignment="1">
      <alignment horizontal="right" vertical="center"/>
    </xf>
    <xf numFmtId="49" fontId="25" fillId="5" borderId="1" xfId="2" applyNumberFormat="1" applyFont="1" applyFill="1" applyBorder="1" applyAlignment="1">
      <alignment vertical="center"/>
    </xf>
    <xf numFmtId="165" fontId="25" fillId="8" borderId="1" xfId="2" applyNumberFormat="1" applyFont="1" applyFill="1" applyBorder="1" applyAlignment="1">
      <alignment horizontal="right" vertical="center" wrapText="1"/>
    </xf>
    <xf numFmtId="165" fontId="31" fillId="6" borderId="1" xfId="2" applyNumberFormat="1" applyFont="1" applyFill="1" applyBorder="1" applyAlignment="1">
      <alignment horizontal="right" vertical="center" wrapText="1"/>
    </xf>
    <xf numFmtId="165" fontId="21" fillId="6" borderId="1" xfId="2" applyNumberFormat="1" applyFont="1" applyFill="1" applyBorder="1" applyAlignment="1">
      <alignment horizontal="right" vertical="center" wrapText="1"/>
    </xf>
    <xf numFmtId="165" fontId="22" fillId="0" borderId="1" xfId="2" applyNumberFormat="1" applyFont="1" applyBorder="1" applyAlignment="1">
      <alignment vertical="center"/>
    </xf>
    <xf numFmtId="165" fontId="20" fillId="0" borderId="1" xfId="2" applyNumberFormat="1" applyFont="1" applyBorder="1" applyAlignment="1">
      <alignment vertical="center"/>
    </xf>
    <xf numFmtId="165" fontId="20" fillId="7" borderId="1" xfId="2" applyNumberFormat="1" applyFont="1" applyFill="1" applyBorder="1" applyAlignment="1">
      <alignment vertical="center"/>
    </xf>
    <xf numFmtId="49" fontId="20" fillId="10" borderId="1" xfId="2" applyNumberFormat="1" applyFont="1" applyFill="1" applyBorder="1" applyAlignment="1">
      <alignment horizontal="right" vertical="center"/>
    </xf>
    <xf numFmtId="0" fontId="20" fillId="10" borderId="1" xfId="2" applyFont="1" applyFill="1" applyBorder="1" applyAlignment="1">
      <alignment vertical="center"/>
    </xf>
    <xf numFmtId="165" fontId="20" fillId="6" borderId="1" xfId="2" applyNumberFormat="1" applyFont="1" applyFill="1" applyBorder="1" applyAlignment="1">
      <alignment vertical="center"/>
    </xf>
    <xf numFmtId="165" fontId="20" fillId="10" borderId="1" xfId="2" applyNumberFormat="1" applyFont="1" applyFill="1" applyBorder="1" applyAlignment="1">
      <alignment vertical="center"/>
    </xf>
    <xf numFmtId="165" fontId="20" fillId="6" borderId="1" xfId="2" applyNumberFormat="1" applyFont="1" applyFill="1" applyBorder="1" applyAlignment="1">
      <alignment horizontal="right" vertical="center"/>
    </xf>
    <xf numFmtId="0" fontId="21" fillId="10" borderId="1" xfId="2" applyFont="1" applyFill="1" applyBorder="1" applyAlignment="1">
      <alignment horizontal="center" vertical="center"/>
    </xf>
    <xf numFmtId="49" fontId="22" fillId="10" borderId="1" xfId="2" applyNumberFormat="1" applyFont="1" applyFill="1" applyBorder="1" applyAlignment="1">
      <alignment horizontal="right" vertical="center"/>
    </xf>
    <xf numFmtId="0" fontId="22" fillId="10" borderId="1" xfId="2" applyFont="1" applyFill="1" applyBorder="1" applyAlignment="1">
      <alignment vertical="center"/>
    </xf>
    <xf numFmtId="0" fontId="21" fillId="0" borderId="1" xfId="2" applyFont="1" applyBorder="1" applyAlignment="1">
      <alignment horizontal="center" vertical="center"/>
    </xf>
    <xf numFmtId="0" fontId="21" fillId="2" borderId="1" xfId="2" applyFont="1" applyFill="1" applyBorder="1" applyAlignment="1">
      <alignment horizontal="center" vertical="center"/>
    </xf>
    <xf numFmtId="0" fontId="26" fillId="2" borderId="1" xfId="2" applyFont="1" applyFill="1" applyBorder="1" applyAlignment="1">
      <alignment horizontal="center" vertical="center"/>
    </xf>
    <xf numFmtId="0" fontId="31" fillId="2" borderId="1" xfId="2" applyFont="1" applyFill="1" applyBorder="1" applyAlignment="1">
      <alignment horizontal="center" vertical="center"/>
    </xf>
    <xf numFmtId="49" fontId="25" fillId="3" borderId="1" xfId="2" applyNumberFormat="1" applyFont="1" applyFill="1" applyBorder="1" applyAlignment="1">
      <alignment horizontal="right" vertical="center"/>
    </xf>
    <xf numFmtId="49" fontId="20" fillId="0" borderId="8" xfId="2" applyNumberFormat="1" applyFont="1" applyBorder="1" applyAlignment="1">
      <alignment horizontal="center" vertical="center"/>
    </xf>
    <xf numFmtId="49" fontId="20" fillId="0" borderId="8" xfId="2" applyNumberFormat="1" applyFont="1" applyBorder="1" applyAlignment="1">
      <alignment horizontal="right" vertical="center"/>
    </xf>
    <xf numFmtId="0" fontId="20" fillId="0" borderId="8" xfId="2" applyFont="1" applyBorder="1" applyAlignment="1">
      <alignment vertical="center"/>
    </xf>
    <xf numFmtId="49" fontId="20" fillId="0" borderId="8" xfId="2" applyNumberFormat="1" applyFont="1" applyBorder="1" applyAlignment="1">
      <alignment vertical="center"/>
    </xf>
    <xf numFmtId="49" fontId="22" fillId="0" borderId="8" xfId="2" applyNumberFormat="1" applyFont="1" applyBorder="1" applyAlignment="1">
      <alignment horizontal="center" vertical="center"/>
    </xf>
    <xf numFmtId="49" fontId="22" fillId="0" borderId="8" xfId="2" applyNumberFormat="1" applyFont="1" applyBorder="1" applyAlignment="1">
      <alignment horizontal="right" vertical="center"/>
    </xf>
    <xf numFmtId="0" fontId="22" fillId="0" borderId="8" xfId="2" applyFont="1" applyBorder="1" applyAlignment="1">
      <alignment vertical="center"/>
    </xf>
    <xf numFmtId="49" fontId="22" fillId="0" borderId="8" xfId="2" applyNumberFormat="1" applyFont="1" applyBorder="1" applyAlignment="1">
      <alignment vertical="center"/>
    </xf>
    <xf numFmtId="0" fontId="8" fillId="0" borderId="9" xfId="2" applyFont="1" applyBorder="1" applyAlignment="1">
      <alignment vertical="center"/>
    </xf>
    <xf numFmtId="49" fontId="7" fillId="3" borderId="1" xfId="2" applyNumberFormat="1" applyFont="1" applyFill="1" applyBorder="1" applyAlignment="1">
      <alignment horizontal="right" vertical="center"/>
    </xf>
    <xf numFmtId="49" fontId="32" fillId="0" borderId="1" xfId="2" applyNumberFormat="1" applyFont="1" applyBorder="1" applyAlignment="1">
      <alignment horizontal="right" vertical="center"/>
    </xf>
    <xf numFmtId="49" fontId="7" fillId="0" borderId="1" xfId="2" applyNumberFormat="1" applyFont="1" applyBorder="1" applyAlignment="1">
      <alignment vertical="center"/>
    </xf>
    <xf numFmtId="49" fontId="8" fillId="3" borderId="1" xfId="2" applyNumberFormat="1" applyFont="1" applyFill="1" applyBorder="1" applyAlignment="1">
      <alignment horizontal="right" vertical="center"/>
    </xf>
    <xf numFmtId="49" fontId="25" fillId="0" borderId="1" xfId="2" applyNumberFormat="1" applyFont="1" applyBorder="1" applyAlignment="1">
      <alignment horizontal="right" vertical="center"/>
    </xf>
    <xf numFmtId="49" fontId="8" fillId="0" borderId="1" xfId="2" applyNumberFormat="1" applyFont="1" applyBorder="1" applyAlignment="1">
      <alignment vertical="center"/>
    </xf>
    <xf numFmtId="49" fontId="12" fillId="6" borderId="1" xfId="2" applyNumberFormat="1" applyFont="1" applyFill="1" applyBorder="1" applyAlignment="1">
      <alignment horizontal="right" vertical="center"/>
    </xf>
    <xf numFmtId="165" fontId="21" fillId="6" borderId="1" xfId="2" applyNumberFormat="1" applyFont="1" applyFill="1" applyBorder="1" applyAlignment="1">
      <alignment horizontal="right" vertical="center"/>
    </xf>
    <xf numFmtId="0" fontId="20" fillId="2" borderId="1" xfId="2" applyFont="1" applyFill="1" applyBorder="1" applyAlignment="1">
      <alignment vertical="center"/>
    </xf>
    <xf numFmtId="0" fontId="22" fillId="2" borderId="1" xfId="2" applyFont="1" applyFill="1" applyBorder="1" applyAlignment="1">
      <alignment vertical="center"/>
    </xf>
    <xf numFmtId="0" fontId="22" fillId="2" borderId="3" xfId="2" applyFont="1" applyFill="1" applyBorder="1" applyAlignment="1">
      <alignment vertical="center"/>
    </xf>
    <xf numFmtId="49" fontId="20" fillId="0" borderId="3" xfId="2" applyNumberFormat="1" applyFont="1" applyBorder="1" applyAlignment="1">
      <alignment horizontal="right" vertical="center"/>
    </xf>
    <xf numFmtId="165" fontId="20" fillId="4" borderId="3" xfId="2" applyNumberFormat="1" applyFont="1" applyFill="1" applyBorder="1" applyAlignment="1">
      <alignment horizontal="right" vertical="center"/>
    </xf>
    <xf numFmtId="49" fontId="22" fillId="0" borderId="3" xfId="2" applyNumberFormat="1" applyFont="1" applyBorder="1" applyAlignment="1">
      <alignment horizontal="right" vertical="center"/>
    </xf>
    <xf numFmtId="0" fontId="22" fillId="0" borderId="3" xfId="2" applyFont="1" applyBorder="1" applyAlignment="1">
      <alignment vertical="center"/>
    </xf>
    <xf numFmtId="165" fontId="22" fillId="4" borderId="3" xfId="2" applyNumberFormat="1" applyFont="1" applyFill="1" applyBorder="1" applyAlignment="1">
      <alignment horizontal="right" vertical="center"/>
    </xf>
    <xf numFmtId="0" fontId="25" fillId="2" borderId="3" xfId="2" applyFont="1" applyFill="1" applyBorder="1" applyAlignment="1">
      <alignment vertical="center"/>
    </xf>
    <xf numFmtId="49" fontId="25" fillId="3" borderId="3" xfId="2" applyNumberFormat="1" applyFont="1" applyFill="1" applyBorder="1" applyAlignment="1">
      <alignment horizontal="right" vertical="center"/>
    </xf>
    <xf numFmtId="49" fontId="25" fillId="5" borderId="3" xfId="2" applyNumberFormat="1" applyFont="1" applyFill="1" applyBorder="1" applyAlignment="1">
      <alignment horizontal="right" vertical="center"/>
    </xf>
    <xf numFmtId="49" fontId="25" fillId="5" borderId="3" xfId="2" applyNumberFormat="1" applyFont="1" applyFill="1" applyBorder="1" applyAlignment="1">
      <alignment vertical="center" wrapText="1"/>
    </xf>
    <xf numFmtId="165" fontId="25" fillId="5" borderId="3" xfId="2" applyNumberFormat="1" applyFont="1" applyFill="1" applyBorder="1" applyAlignment="1">
      <alignment horizontal="right" vertical="center"/>
    </xf>
    <xf numFmtId="165" fontId="22" fillId="0" borderId="0" xfId="2" applyNumberFormat="1" applyFont="1" applyAlignment="1">
      <alignment horizontal="center" vertical="center"/>
    </xf>
    <xf numFmtId="3" fontId="20" fillId="11" borderId="0" xfId="2" applyNumberFormat="1" applyFont="1" applyFill="1" applyAlignment="1">
      <alignment horizontal="right" vertical="center"/>
    </xf>
    <xf numFmtId="4" fontId="20" fillId="11" borderId="0" xfId="2" applyNumberFormat="1" applyFont="1" applyFill="1" applyAlignment="1">
      <alignment vertical="center"/>
    </xf>
    <xf numFmtId="3" fontId="22" fillId="0" borderId="0" xfId="2" applyNumberFormat="1" applyFont="1" applyAlignment="1">
      <alignment horizontal="center" vertical="center"/>
    </xf>
    <xf numFmtId="4" fontId="23" fillId="0" borderId="0" xfId="2" applyNumberFormat="1" applyFont="1" applyAlignment="1">
      <alignment horizontal="right" vertical="center"/>
    </xf>
    <xf numFmtId="165" fontId="20" fillId="0" borderId="0" xfId="2" applyNumberFormat="1" applyFont="1" applyAlignment="1">
      <alignment vertical="center"/>
    </xf>
    <xf numFmtId="4" fontId="27" fillId="0" borderId="0" xfId="2" applyNumberFormat="1" applyFont="1" applyAlignment="1">
      <alignment vertical="center"/>
    </xf>
    <xf numFmtId="165" fontId="20" fillId="4" borderId="27" xfId="2" applyNumberFormat="1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vertical="center" wrapText="1"/>
    </xf>
    <xf numFmtId="0" fontId="8" fillId="2" borderId="1" xfId="2" applyFont="1" applyFill="1" applyBorder="1" applyAlignment="1">
      <alignment vertical="center" wrapText="1"/>
    </xf>
    <xf numFmtId="3" fontId="15" fillId="0" borderId="0" xfId="2" applyNumberFormat="1" applyFont="1" applyAlignment="1">
      <alignment vertical="center"/>
    </xf>
    <xf numFmtId="0" fontId="23" fillId="3" borderId="1" xfId="3" applyNumberFormat="1" applyFont="1" applyFill="1" applyBorder="1" applyAlignment="1">
      <alignment horizontal="center" vertical="center" wrapText="1"/>
    </xf>
    <xf numFmtId="0" fontId="23" fillId="6" borderId="8" xfId="2" applyFont="1" applyFill="1" applyBorder="1" applyAlignment="1">
      <alignment horizontal="center" vertical="center" wrapText="1"/>
    </xf>
    <xf numFmtId="165" fontId="20" fillId="6" borderId="8" xfId="3" applyNumberFormat="1" applyFont="1" applyFill="1" applyBorder="1" applyAlignment="1">
      <alignment horizontal="center" vertical="center" wrapText="1"/>
    </xf>
    <xf numFmtId="49" fontId="20" fillId="6" borderId="1" xfId="2" applyNumberFormat="1" applyFont="1" applyFill="1" applyBorder="1" applyAlignment="1">
      <alignment horizontal="left" vertical="center"/>
    </xf>
    <xf numFmtId="0" fontId="23" fillId="3" borderId="8" xfId="2" applyFont="1" applyFill="1" applyBorder="1" applyAlignment="1">
      <alignment horizontal="center" vertical="center" wrapText="1"/>
    </xf>
    <xf numFmtId="0" fontId="20" fillId="3" borderId="8" xfId="2" applyFont="1" applyFill="1" applyBorder="1" applyAlignment="1">
      <alignment horizontal="left" vertical="center" wrapText="1"/>
    </xf>
    <xf numFmtId="0" fontId="23" fillId="3" borderId="8" xfId="3" applyNumberFormat="1" applyFont="1" applyFill="1" applyBorder="1" applyAlignment="1">
      <alignment horizontal="center" vertical="center" wrapText="1"/>
    </xf>
    <xf numFmtId="0" fontId="22" fillId="0" borderId="1" xfId="4" applyFont="1" applyBorder="1" applyAlignment="1">
      <alignment vertical="center"/>
    </xf>
    <xf numFmtId="0" fontId="22" fillId="0" borderId="1" xfId="4" applyFont="1" applyBorder="1" applyAlignment="1">
      <alignment vertical="center" wrapText="1"/>
    </xf>
    <xf numFmtId="0" fontId="20" fillId="0" borderId="1" xfId="4" applyFont="1" applyBorder="1" applyAlignment="1">
      <alignment vertical="center" wrapText="1"/>
    </xf>
    <xf numFmtId="49" fontId="22" fillId="4" borderId="1" xfId="4" applyNumberFormat="1" applyFont="1" applyFill="1" applyBorder="1" applyAlignment="1">
      <alignment horizontal="left" vertical="center"/>
    </xf>
    <xf numFmtId="0" fontId="22" fillId="4" borderId="1" xfId="4" applyFont="1" applyFill="1" applyBorder="1" applyAlignment="1">
      <alignment horizontal="right" vertical="center"/>
    </xf>
    <xf numFmtId="49" fontId="22" fillId="0" borderId="1" xfId="4" applyNumberFormat="1" applyFont="1" applyBorder="1" applyAlignment="1">
      <alignment horizontal="left" vertical="center"/>
    </xf>
    <xf numFmtId="0" fontId="22" fillId="0" borderId="1" xfId="4" applyFont="1" applyBorder="1" applyAlignment="1">
      <alignment horizontal="right" vertical="center"/>
    </xf>
    <xf numFmtId="0" fontId="20" fillId="9" borderId="1" xfId="2" applyFont="1" applyFill="1" applyBorder="1"/>
    <xf numFmtId="0" fontId="20" fillId="0" borderId="1" xfId="2" applyFont="1" applyBorder="1"/>
    <xf numFmtId="0" fontId="20" fillId="0" borderId="1" xfId="4" applyFont="1" applyBorder="1" applyAlignment="1">
      <alignment horizontal="right" vertical="center"/>
    </xf>
    <xf numFmtId="49" fontId="20" fillId="0" borderId="1" xfId="4" applyNumberFormat="1" applyFont="1" applyBorder="1" applyAlignment="1">
      <alignment horizontal="left" vertical="center"/>
    </xf>
    <xf numFmtId="49" fontId="22" fillId="4" borderId="1" xfId="4" applyNumberFormat="1" applyFont="1" applyFill="1" applyBorder="1" applyAlignment="1">
      <alignment vertical="center"/>
    </xf>
    <xf numFmtId="49" fontId="23" fillId="0" borderId="1" xfId="2" applyNumberFormat="1" applyFont="1" applyBorder="1" applyAlignment="1">
      <alignment horizontal="right" vertical="center"/>
    </xf>
    <xf numFmtId="0" fontId="14" fillId="10" borderId="1" xfId="2" applyFont="1" applyFill="1" applyBorder="1" applyAlignment="1">
      <alignment horizontal="center" vertical="center"/>
    </xf>
    <xf numFmtId="49" fontId="14" fillId="6" borderId="1" xfId="2" applyNumberFormat="1" applyFont="1" applyFill="1" applyBorder="1" applyAlignment="1">
      <alignment horizontal="right" vertical="center"/>
    </xf>
    <xf numFmtId="0" fontId="20" fillId="2" borderId="3" xfId="2" applyFont="1" applyFill="1" applyBorder="1" applyAlignment="1">
      <alignment vertical="center"/>
    </xf>
    <xf numFmtId="0" fontId="23" fillId="10" borderId="18" xfId="1" applyFont="1" applyFill="1" applyBorder="1" applyAlignment="1">
      <alignment horizontal="center" vertical="center" wrapText="1"/>
    </xf>
    <xf numFmtId="165" fontId="23" fillId="6" borderId="24" xfId="2" applyNumberFormat="1" applyFont="1" applyFill="1" applyBorder="1" applyAlignment="1">
      <alignment horizontal="right" vertical="center" wrapText="1"/>
    </xf>
    <xf numFmtId="49" fontId="20" fillId="0" borderId="18" xfId="7" applyNumberFormat="1" applyFont="1" applyBorder="1" applyAlignment="1">
      <alignment vertical="center" wrapText="1"/>
    </xf>
    <xf numFmtId="165" fontId="20" fillId="0" borderId="24" xfId="7" applyNumberFormat="1" applyFont="1" applyBorder="1" applyAlignment="1">
      <alignment horizontal="right" vertical="center"/>
    </xf>
    <xf numFmtId="49" fontId="22" fillId="0" borderId="18" xfId="7" applyNumberFormat="1" applyFont="1" applyBorder="1" applyAlignment="1">
      <alignment vertical="center" wrapText="1"/>
    </xf>
    <xf numFmtId="165" fontId="22" fillId="0" borderId="24" xfId="7" applyNumberFormat="1" applyFont="1" applyBorder="1" applyAlignment="1">
      <alignment horizontal="right" vertical="center"/>
    </xf>
    <xf numFmtId="49" fontId="20" fillId="0" borderId="18" xfId="7" applyNumberFormat="1" applyFont="1" applyBorder="1" applyAlignment="1">
      <alignment vertical="center"/>
    </xf>
    <xf numFmtId="49" fontId="22" fillId="0" borderId="19" xfId="7" applyNumberFormat="1" applyFont="1" applyBorder="1" applyAlignment="1">
      <alignment vertical="center"/>
    </xf>
    <xf numFmtId="49" fontId="22" fillId="0" borderId="19" xfId="7" applyNumberFormat="1" applyFont="1" applyBorder="1" applyAlignment="1">
      <alignment vertical="center" wrapText="1"/>
    </xf>
    <xf numFmtId="49" fontId="20" fillId="0" borderId="19" xfId="7" applyNumberFormat="1" applyFont="1" applyBorder="1" applyAlignment="1">
      <alignment vertical="center"/>
    </xf>
    <xf numFmtId="49" fontId="20" fillId="0" borderId="19" xfId="7" applyNumberFormat="1" applyFont="1" applyBorder="1" applyAlignment="1">
      <alignment vertical="center" wrapText="1"/>
    </xf>
    <xf numFmtId="165" fontId="22" fillId="0" borderId="25" xfId="7" applyNumberFormat="1" applyFont="1" applyBorder="1" applyAlignment="1">
      <alignment horizontal="right" vertical="center"/>
    </xf>
    <xf numFmtId="165" fontId="22" fillId="0" borderId="1" xfId="7" applyNumberFormat="1" applyFont="1" applyBorder="1" applyAlignment="1">
      <alignment horizontal="right" vertical="center"/>
    </xf>
    <xf numFmtId="165" fontId="20" fillId="0" borderId="1" xfId="7" applyNumberFormat="1" applyFont="1" applyBorder="1" applyAlignment="1">
      <alignment horizontal="right" vertical="center"/>
    </xf>
    <xf numFmtId="49" fontId="22" fillId="0" borderId="1" xfId="7" applyNumberFormat="1" applyFont="1" applyBorder="1" applyAlignment="1">
      <alignment vertical="center" wrapText="1"/>
    </xf>
    <xf numFmtId="0" fontId="23" fillId="0" borderId="8" xfId="2" applyFont="1" applyBorder="1" applyAlignment="1">
      <alignment horizontal="center" vertical="center" wrapText="1"/>
    </xf>
    <xf numFmtId="0" fontId="22" fillId="0" borderId="3" xfId="2" applyFont="1" applyBorder="1" applyAlignment="1">
      <alignment horizontal="center" vertical="center"/>
    </xf>
    <xf numFmtId="49" fontId="22" fillId="0" borderId="3" xfId="2" applyNumberFormat="1" applyFont="1" applyBorder="1" applyAlignment="1">
      <alignment horizontal="left" vertical="center" wrapText="1"/>
    </xf>
    <xf numFmtId="44" fontId="22" fillId="0" borderId="3" xfId="2" applyNumberFormat="1" applyFont="1" applyBorder="1" applyAlignment="1">
      <alignment horizontal="right" vertical="center"/>
    </xf>
    <xf numFmtId="44" fontId="20" fillId="10" borderId="1" xfId="2" applyNumberFormat="1" applyFont="1" applyFill="1" applyBorder="1" applyAlignment="1">
      <alignment horizontal="left" vertical="center" wrapText="1"/>
    </xf>
    <xf numFmtId="44" fontId="20" fillId="9" borderId="1" xfId="2" applyNumberFormat="1" applyFont="1" applyFill="1" applyBorder="1" applyAlignment="1">
      <alignment horizontal="left" vertical="center" wrapText="1"/>
    </xf>
    <xf numFmtId="44" fontId="20" fillId="0" borderId="1" xfId="2" applyNumberFormat="1" applyFont="1" applyBorder="1" applyAlignment="1">
      <alignment horizontal="left" vertical="center" wrapText="1"/>
    </xf>
    <xf numFmtId="44" fontId="20" fillId="0" borderId="1" xfId="2" applyNumberFormat="1" applyFont="1" applyBorder="1" applyAlignment="1">
      <alignment horizontal="right" vertical="center"/>
    </xf>
    <xf numFmtId="44" fontId="20" fillId="0" borderId="3" xfId="2" applyNumberFormat="1" applyFont="1" applyBorder="1" applyAlignment="1">
      <alignment horizontal="left" vertical="center" wrapText="1"/>
    </xf>
    <xf numFmtId="165" fontId="21" fillId="9" borderId="1" xfId="2" applyNumberFormat="1" applyFont="1" applyFill="1" applyBorder="1" applyAlignment="1">
      <alignment horizontal="right" vertical="center"/>
    </xf>
    <xf numFmtId="165" fontId="21" fillId="0" borderId="1" xfId="2" applyNumberFormat="1" applyFont="1" applyBorder="1" applyAlignment="1">
      <alignment horizontal="right" vertical="center"/>
    </xf>
    <xf numFmtId="165" fontId="26" fillId="0" borderId="1" xfId="2" applyNumberFormat="1" applyFont="1" applyBorder="1" applyAlignment="1">
      <alignment horizontal="right" vertical="center"/>
    </xf>
    <xf numFmtId="0" fontId="5" fillId="0" borderId="9" xfId="0" quotePrefix="1" applyFont="1" applyBorder="1" applyAlignment="1">
      <alignment horizontal="center" vertical="center" wrapText="1"/>
    </xf>
    <xf numFmtId="3" fontId="24" fillId="0" borderId="0" xfId="4" applyNumberFormat="1" applyFont="1" applyAlignment="1">
      <alignment horizontal="left"/>
    </xf>
    <xf numFmtId="3" fontId="23" fillId="2" borderId="0" xfId="4" applyNumberFormat="1" applyFont="1" applyFill="1" applyAlignment="1">
      <alignment vertical="center"/>
    </xf>
    <xf numFmtId="165" fontId="23" fillId="2" borderId="0" xfId="4" applyNumberFormat="1" applyFont="1" applyFill="1" applyAlignment="1">
      <alignment vertical="center"/>
    </xf>
    <xf numFmtId="3" fontId="23" fillId="0" borderId="0" xfId="4" applyNumberFormat="1" applyFont="1"/>
    <xf numFmtId="0" fontId="20" fillId="3" borderId="1" xfId="4" applyFont="1" applyFill="1" applyBorder="1" applyAlignment="1">
      <alignment horizontal="center" vertical="center" wrapText="1"/>
    </xf>
    <xf numFmtId="165" fontId="20" fillId="0" borderId="1" xfId="4" applyNumberFormat="1" applyFont="1" applyBorder="1" applyAlignment="1">
      <alignment horizontal="right" vertical="center" wrapText="1"/>
    </xf>
    <xf numFmtId="3" fontId="20" fillId="0" borderId="0" xfId="4" applyNumberFormat="1" applyFont="1"/>
    <xf numFmtId="3" fontId="23" fillId="14" borderId="1" xfId="4" applyNumberFormat="1" applyFont="1" applyFill="1" applyBorder="1" applyAlignment="1">
      <alignment horizontal="left" vertical="center"/>
    </xf>
    <xf numFmtId="3" fontId="23" fillId="14" borderId="1" xfId="4" applyNumberFormat="1" applyFont="1" applyFill="1" applyBorder="1" applyAlignment="1">
      <alignment horizontal="left" vertical="center" wrapText="1"/>
    </xf>
    <xf numFmtId="165" fontId="23" fillId="15" borderId="1" xfId="4" applyNumberFormat="1" applyFont="1" applyFill="1" applyBorder="1" applyAlignment="1">
      <alignment horizontal="right" vertical="center" wrapText="1"/>
    </xf>
    <xf numFmtId="3" fontId="25" fillId="5" borderId="1" xfId="4" applyNumberFormat="1" applyFont="1" applyFill="1" applyBorder="1" applyAlignment="1">
      <alignment horizontal="left" vertical="center"/>
    </xf>
    <xf numFmtId="49" fontId="25" fillId="8" borderId="1" xfId="4" applyNumberFormat="1" applyFont="1" applyFill="1" applyBorder="1" applyAlignment="1">
      <alignment horizontal="left" vertical="center" wrapText="1"/>
    </xf>
    <xf numFmtId="165" fontId="25" fillId="8" borderId="1" xfId="4" applyNumberFormat="1" applyFont="1" applyFill="1" applyBorder="1" applyAlignment="1">
      <alignment horizontal="right" vertical="center" wrapText="1"/>
    </xf>
    <xf numFmtId="3" fontId="25" fillId="0" borderId="0" xfId="4" applyNumberFormat="1" applyFont="1"/>
    <xf numFmtId="0" fontId="20" fillId="6" borderId="1" xfId="4" applyFont="1" applyFill="1" applyBorder="1" applyAlignment="1">
      <alignment horizontal="center" vertical="center"/>
    </xf>
    <xf numFmtId="49" fontId="20" fillId="6" borderId="1" xfId="4" applyNumberFormat="1" applyFont="1" applyFill="1" applyBorder="1" applyAlignment="1">
      <alignment vertical="center"/>
    </xf>
    <xf numFmtId="165" fontId="20" fillId="10" borderId="1" xfId="4" applyNumberFormat="1" applyFont="1" applyFill="1" applyBorder="1" applyAlignment="1">
      <alignment horizontal="right" vertical="center" wrapText="1"/>
    </xf>
    <xf numFmtId="3" fontId="20" fillId="0" borderId="0" xfId="4" applyNumberFormat="1" applyFont="1" applyAlignment="1">
      <alignment horizontal="center" vertical="center" wrapText="1"/>
    </xf>
    <xf numFmtId="3" fontId="22" fillId="0" borderId="0" xfId="4" applyNumberFormat="1" applyFont="1"/>
    <xf numFmtId="3" fontId="24" fillId="0" borderId="0" xfId="4" applyNumberFormat="1" applyFont="1"/>
    <xf numFmtId="3" fontId="22" fillId="0" borderId="0" xfId="4" applyNumberFormat="1" applyFont="1" applyAlignment="1">
      <alignment horizontal="center" vertical="center" wrapText="1"/>
    </xf>
    <xf numFmtId="3" fontId="12" fillId="0" borderId="0" xfId="4" applyNumberFormat="1" applyFont="1"/>
    <xf numFmtId="3" fontId="33" fillId="0" borderId="0" xfId="4" applyNumberFormat="1" applyFont="1"/>
    <xf numFmtId="3" fontId="34" fillId="0" borderId="0" xfId="4" applyNumberFormat="1" applyFont="1"/>
    <xf numFmtId="3" fontId="20" fillId="0" borderId="0" xfId="4" applyNumberFormat="1" applyFont="1" applyAlignment="1">
      <alignment vertical="center"/>
    </xf>
    <xf numFmtId="3" fontId="22" fillId="0" borderId="0" xfId="4" applyNumberFormat="1" applyFont="1" applyAlignment="1">
      <alignment vertical="center"/>
    </xf>
    <xf numFmtId="3" fontId="23" fillId="0" borderId="0" xfId="4" applyNumberFormat="1" applyFont="1" applyAlignment="1">
      <alignment vertical="center"/>
    </xf>
    <xf numFmtId="3" fontId="24" fillId="0" borderId="0" xfId="4" applyNumberFormat="1" applyFont="1" applyAlignment="1">
      <alignment vertical="center"/>
    </xf>
    <xf numFmtId="165" fontId="22" fillId="0" borderId="1" xfId="4" applyNumberFormat="1" applyFont="1" applyBorder="1" applyAlignment="1">
      <alignment horizontal="right" vertical="center" wrapText="1"/>
    </xf>
    <xf numFmtId="4" fontId="22" fillId="0" borderId="0" xfId="4" applyNumberFormat="1" applyFont="1"/>
    <xf numFmtId="3" fontId="27" fillId="0" borderId="0" xfId="4" applyNumberFormat="1" applyFont="1"/>
    <xf numFmtId="3" fontId="8" fillId="0" borderId="0" xfId="4" applyNumberFormat="1" applyFont="1"/>
    <xf numFmtId="3" fontId="20" fillId="9" borderId="0" xfId="4" applyNumberFormat="1" applyFont="1" applyFill="1"/>
    <xf numFmtId="165" fontId="20" fillId="9" borderId="1" xfId="4" applyNumberFormat="1" applyFont="1" applyFill="1" applyBorder="1" applyAlignment="1">
      <alignment horizontal="right" vertical="center" wrapText="1"/>
    </xf>
    <xf numFmtId="3" fontId="22" fillId="0" borderId="1" xfId="4" applyNumberFormat="1" applyFont="1" applyBorder="1" applyAlignment="1">
      <alignment vertical="center"/>
    </xf>
    <xf numFmtId="165" fontId="22" fillId="0" borderId="1" xfId="4" applyNumberFormat="1" applyFont="1" applyBorder="1" applyAlignment="1">
      <alignment vertical="center"/>
    </xf>
    <xf numFmtId="165" fontId="22" fillId="0" borderId="0" xfId="4" applyNumberFormat="1" applyFont="1" applyAlignment="1">
      <alignment vertical="center"/>
    </xf>
    <xf numFmtId="165" fontId="23" fillId="0" borderId="0" xfId="4" applyNumberFormat="1" applyFont="1" applyAlignment="1">
      <alignment horizontal="right" vertical="center"/>
    </xf>
    <xf numFmtId="3" fontId="20" fillId="3" borderId="1" xfId="4" applyNumberFormat="1" applyFont="1" applyFill="1" applyBorder="1" applyAlignment="1">
      <alignment horizontal="left" vertical="center"/>
    </xf>
    <xf numFmtId="0" fontId="20" fillId="3" borderId="1" xfId="4" applyFont="1" applyFill="1" applyBorder="1" applyAlignment="1">
      <alignment horizontal="left" vertical="center" wrapText="1"/>
    </xf>
    <xf numFmtId="49" fontId="20" fillId="7" borderId="1" xfId="4" applyNumberFormat="1" applyFont="1" applyFill="1" applyBorder="1" applyAlignment="1">
      <alignment horizontal="right" vertical="center"/>
    </xf>
    <xf numFmtId="49" fontId="20" fillId="7" borderId="1" xfId="4" applyNumberFormat="1" applyFont="1" applyFill="1" applyBorder="1" applyAlignment="1">
      <alignment vertical="center"/>
    </xf>
    <xf numFmtId="49" fontId="20" fillId="0" borderId="1" xfId="4" applyNumberFormat="1" applyFont="1" applyBorder="1" applyAlignment="1">
      <alignment horizontal="right" vertical="center"/>
    </xf>
    <xf numFmtId="0" fontId="20" fillId="0" borderId="1" xfId="4" applyFont="1" applyBorder="1" applyAlignment="1">
      <alignment vertical="center"/>
    </xf>
    <xf numFmtId="49" fontId="22" fillId="0" borderId="1" xfId="4" applyNumberFormat="1" applyFont="1" applyBorder="1" applyAlignment="1">
      <alignment horizontal="right" vertical="center"/>
    </xf>
    <xf numFmtId="165" fontId="22" fillId="0" borderId="1" xfId="0" applyNumberFormat="1" applyFont="1" applyBorder="1" applyAlignment="1">
      <alignment horizontal="right"/>
    </xf>
    <xf numFmtId="165" fontId="20" fillId="0" borderId="1" xfId="0" applyNumberFormat="1" applyFont="1" applyBorder="1" applyAlignment="1">
      <alignment horizontal="right"/>
    </xf>
    <xf numFmtId="49" fontId="20" fillId="4" borderId="1" xfId="4" applyNumberFormat="1" applyFont="1" applyFill="1" applyBorder="1" applyAlignment="1">
      <alignment horizontal="right" vertical="center"/>
    </xf>
    <xf numFmtId="49" fontId="22" fillId="4" borderId="1" xfId="4" applyNumberFormat="1" applyFont="1" applyFill="1" applyBorder="1" applyAlignment="1">
      <alignment horizontal="right" vertical="center"/>
    </xf>
    <xf numFmtId="0" fontId="20" fillId="4" borderId="1" xfId="4" applyFont="1" applyFill="1" applyBorder="1" applyAlignment="1">
      <alignment horizontal="right" vertical="center"/>
    </xf>
    <xf numFmtId="49" fontId="20" fillId="4" borderId="1" xfId="4" applyNumberFormat="1" applyFont="1" applyFill="1" applyBorder="1" applyAlignment="1">
      <alignment horizontal="left" vertical="center"/>
    </xf>
    <xf numFmtId="49" fontId="20" fillId="4" borderId="1" xfId="4" applyNumberFormat="1" applyFont="1" applyFill="1" applyBorder="1" applyAlignment="1">
      <alignment horizontal="left" vertical="center" wrapText="1"/>
    </xf>
    <xf numFmtId="49" fontId="22" fillId="4" borderId="1" xfId="4" applyNumberFormat="1" applyFont="1" applyFill="1" applyBorder="1" applyAlignment="1">
      <alignment horizontal="left" vertical="center" wrapText="1"/>
    </xf>
    <xf numFmtId="165" fontId="22" fillId="0" borderId="1" xfId="0" applyNumberFormat="1" applyFont="1" applyBorder="1" applyAlignment="1">
      <alignment horizontal="right" vertical="center"/>
    </xf>
    <xf numFmtId="165" fontId="20" fillId="0" borderId="1" xfId="0" applyNumberFormat="1" applyFont="1" applyBorder="1" applyAlignment="1">
      <alignment horizontal="right" vertical="center"/>
    </xf>
    <xf numFmtId="0" fontId="20" fillId="9" borderId="1" xfId="4" applyFont="1" applyFill="1" applyBorder="1" applyAlignment="1">
      <alignment horizontal="right" vertical="center"/>
    </xf>
    <xf numFmtId="49" fontId="20" fillId="9" borderId="1" xfId="4" applyNumberFormat="1" applyFont="1" applyFill="1" applyBorder="1" applyAlignment="1">
      <alignment horizontal="left" vertical="center"/>
    </xf>
    <xf numFmtId="165" fontId="20" fillId="9" borderId="1" xfId="0" applyNumberFormat="1" applyFont="1" applyFill="1" applyBorder="1" applyAlignment="1">
      <alignment horizontal="right"/>
    </xf>
    <xf numFmtId="49" fontId="20" fillId="0" borderId="1" xfId="4" applyNumberFormat="1" applyFont="1" applyBorder="1" applyAlignment="1">
      <alignment vertical="center"/>
    </xf>
    <xf numFmtId="49" fontId="20" fillId="7" borderId="1" xfId="4" applyNumberFormat="1" applyFont="1" applyFill="1" applyBorder="1" applyAlignment="1">
      <alignment vertical="center" wrapText="1"/>
    </xf>
    <xf numFmtId="49" fontId="20" fillId="0" borderId="1" xfId="4" applyNumberFormat="1" applyFont="1" applyBorder="1" applyAlignment="1">
      <alignment vertical="center" wrapText="1"/>
    </xf>
    <xf numFmtId="49" fontId="22" fillId="0" borderId="1" xfId="4" applyNumberFormat="1" applyFont="1" applyBorder="1" applyAlignment="1">
      <alignment vertical="center" wrapText="1"/>
    </xf>
    <xf numFmtId="49" fontId="20" fillId="4" borderId="1" xfId="4" applyNumberFormat="1" applyFont="1" applyFill="1" applyBorder="1" applyAlignment="1">
      <alignment vertical="center"/>
    </xf>
    <xf numFmtId="165" fontId="14" fillId="0" borderId="1" xfId="0" applyNumberFormat="1" applyFont="1" applyBorder="1" applyAlignment="1">
      <alignment horizontal="right"/>
    </xf>
    <xf numFmtId="49" fontId="25" fillId="5" borderId="1" xfId="4" applyNumberFormat="1" applyFont="1" applyFill="1" applyBorder="1" applyAlignment="1">
      <alignment horizontal="left" vertical="center"/>
    </xf>
    <xf numFmtId="49" fontId="25" fillId="5" borderId="1" xfId="4" applyNumberFormat="1" applyFont="1" applyFill="1" applyBorder="1" applyAlignment="1">
      <alignment vertical="center"/>
    </xf>
    <xf numFmtId="49" fontId="20" fillId="6" borderId="1" xfId="4" applyNumberFormat="1" applyFont="1" applyFill="1" applyBorder="1" applyAlignment="1">
      <alignment horizontal="center" vertical="center"/>
    </xf>
    <xf numFmtId="49" fontId="22" fillId="0" borderId="1" xfId="4" applyNumberFormat="1" applyFont="1" applyBorder="1" applyAlignment="1">
      <alignment vertical="center"/>
    </xf>
    <xf numFmtId="165" fontId="10" fillId="0" borderId="1" xfId="0" applyNumberFormat="1" applyFont="1" applyBorder="1" applyAlignment="1">
      <alignment horizontal="right"/>
    </xf>
    <xf numFmtId="165" fontId="7" fillId="0" borderId="1" xfId="0" applyNumberFormat="1" applyFont="1" applyBorder="1" applyAlignment="1">
      <alignment horizontal="right"/>
    </xf>
    <xf numFmtId="49" fontId="20" fillId="9" borderId="1" xfId="4" applyNumberFormat="1" applyFont="1" applyFill="1" applyBorder="1" applyAlignment="1">
      <alignment horizontal="right" vertical="center"/>
    </xf>
    <xf numFmtId="0" fontId="20" fillId="9" borderId="1" xfId="4" applyFont="1" applyFill="1" applyBorder="1" applyAlignment="1">
      <alignment vertical="center"/>
    </xf>
    <xf numFmtId="165" fontId="6" fillId="0" borderId="1" xfId="0" applyNumberFormat="1" applyFont="1" applyBorder="1" applyAlignment="1">
      <alignment horizontal="right"/>
    </xf>
    <xf numFmtId="165" fontId="8" fillId="0" borderId="1" xfId="0" applyNumberFormat="1" applyFont="1" applyBorder="1" applyAlignment="1">
      <alignment horizontal="right"/>
    </xf>
    <xf numFmtId="49" fontId="20" fillId="10" borderId="1" xfId="4" applyNumberFormat="1" applyFont="1" applyFill="1" applyBorder="1" applyAlignment="1">
      <alignment horizontal="right" vertical="center"/>
    </xf>
    <xf numFmtId="0" fontId="20" fillId="10" borderId="1" xfId="4" applyFont="1" applyFill="1" applyBorder="1" applyAlignment="1">
      <alignment vertical="center"/>
    </xf>
    <xf numFmtId="49" fontId="20" fillId="10" borderId="1" xfId="4" applyNumberFormat="1" applyFont="1" applyFill="1" applyBorder="1" applyAlignment="1">
      <alignment horizontal="center" vertical="center"/>
    </xf>
    <xf numFmtId="49" fontId="25" fillId="5" borderId="1" xfId="4" applyNumberFormat="1" applyFont="1" applyFill="1" applyBorder="1" applyAlignment="1">
      <alignment vertical="center" wrapText="1"/>
    </xf>
    <xf numFmtId="49" fontId="7" fillId="6" borderId="1" xfId="4" applyNumberFormat="1" applyFont="1" applyFill="1" applyBorder="1" applyAlignment="1">
      <alignment horizontal="center" vertical="center"/>
    </xf>
    <xf numFmtId="3" fontId="23" fillId="15" borderId="1" xfId="4" applyNumberFormat="1" applyFont="1" applyFill="1" applyBorder="1" applyAlignment="1">
      <alignment horizontal="left" vertical="center"/>
    </xf>
    <xf numFmtId="3" fontId="23" fillId="15" borderId="1" xfId="4" applyNumberFormat="1" applyFont="1" applyFill="1" applyBorder="1" applyAlignment="1">
      <alignment vertical="center" wrapText="1"/>
    </xf>
    <xf numFmtId="49" fontId="7" fillId="6" borderId="1" xfId="4" applyNumberFormat="1" applyFont="1" applyFill="1" applyBorder="1" applyAlignment="1">
      <alignment vertical="center"/>
    </xf>
    <xf numFmtId="49" fontId="20" fillId="9" borderId="1" xfId="4" applyNumberFormat="1" applyFont="1" applyFill="1" applyBorder="1" applyAlignment="1">
      <alignment vertical="center"/>
    </xf>
    <xf numFmtId="0" fontId="20" fillId="0" borderId="1" xfId="0" applyFont="1" applyBorder="1" applyAlignment="1">
      <alignment vertical="center"/>
    </xf>
    <xf numFmtId="0" fontId="20" fillId="2" borderId="0" xfId="1" applyFont="1" applyFill="1" applyAlignment="1">
      <alignment vertical="center" wrapText="1"/>
    </xf>
    <xf numFmtId="165" fontId="17" fillId="0" borderId="0" xfId="2" applyNumberFormat="1" applyFont="1"/>
    <xf numFmtId="0" fontId="23" fillId="2" borderId="18" xfId="1" applyFont="1" applyFill="1" applyBorder="1" applyAlignment="1">
      <alignment horizontal="center" vertical="center" wrapText="1"/>
    </xf>
    <xf numFmtId="3" fontId="23" fillId="4" borderId="24" xfId="2" applyNumberFormat="1" applyFont="1" applyFill="1" applyBorder="1" applyAlignment="1">
      <alignment horizontal="center" vertical="center" wrapText="1"/>
    </xf>
    <xf numFmtId="3" fontId="23" fillId="4" borderId="17" xfId="2" applyNumberFormat="1" applyFont="1" applyFill="1" applyBorder="1" applyAlignment="1">
      <alignment horizontal="center" vertical="center" wrapText="1"/>
    </xf>
    <xf numFmtId="3" fontId="23" fillId="4" borderId="16" xfId="2" applyNumberFormat="1" applyFont="1" applyFill="1" applyBorder="1" applyAlignment="1">
      <alignment horizontal="center" vertical="center" wrapText="1"/>
    </xf>
    <xf numFmtId="0" fontId="28" fillId="0" borderId="0" xfId="2" applyFont="1"/>
    <xf numFmtId="165" fontId="23" fillId="6" borderId="17" xfId="2" applyNumberFormat="1" applyFont="1" applyFill="1" applyBorder="1" applyAlignment="1">
      <alignment horizontal="right" vertical="center" wrapText="1"/>
    </xf>
    <xf numFmtId="165" fontId="20" fillId="0" borderId="17" xfId="7" applyNumberFormat="1" applyFont="1" applyBorder="1" applyAlignment="1">
      <alignment horizontal="right" vertical="center"/>
    </xf>
    <xf numFmtId="165" fontId="22" fillId="0" borderId="17" xfId="7" applyNumberFormat="1" applyFont="1" applyBorder="1" applyAlignment="1">
      <alignment horizontal="right" vertical="center"/>
    </xf>
    <xf numFmtId="165" fontId="22" fillId="0" borderId="16" xfId="7" applyNumberFormat="1" applyFont="1" applyBorder="1" applyAlignment="1">
      <alignment horizontal="right" vertical="center"/>
    </xf>
    <xf numFmtId="165" fontId="20" fillId="0" borderId="25" xfId="7" applyNumberFormat="1" applyFont="1" applyBorder="1" applyAlignment="1">
      <alignment horizontal="right" vertical="center"/>
    </xf>
    <xf numFmtId="165" fontId="20" fillId="0" borderId="20" xfId="7" applyNumberFormat="1" applyFont="1" applyBorder="1" applyAlignment="1">
      <alignment horizontal="right" vertical="center"/>
    </xf>
    <xf numFmtId="165" fontId="20" fillId="0" borderId="21" xfId="7" applyNumberFormat="1" applyFont="1" applyBorder="1" applyAlignment="1">
      <alignment horizontal="right" vertical="center"/>
    </xf>
    <xf numFmtId="0" fontId="18" fillId="0" borderId="0" xfId="2" applyFont="1" applyAlignment="1">
      <alignment horizontal="right"/>
    </xf>
    <xf numFmtId="49" fontId="22" fillId="2" borderId="12" xfId="1" applyNumberFormat="1" applyFont="1" applyFill="1" applyBorder="1" applyAlignment="1">
      <alignment vertical="center" wrapText="1"/>
    </xf>
    <xf numFmtId="165" fontId="22" fillId="2" borderId="1" xfId="1" applyNumberFormat="1" applyFont="1" applyFill="1" applyBorder="1" applyAlignment="1">
      <alignment horizontal="right" vertical="center" wrapText="1"/>
    </xf>
    <xf numFmtId="165" fontId="22" fillId="2" borderId="9" xfId="1" applyNumberFormat="1" applyFont="1" applyFill="1" applyBorder="1" applyAlignment="1">
      <alignment horizontal="right" vertical="center" wrapText="1"/>
    </xf>
    <xf numFmtId="0" fontId="17" fillId="0" borderId="0" xfId="2" applyFont="1" applyAlignment="1">
      <alignment horizontal="right"/>
    </xf>
    <xf numFmtId="0" fontId="11" fillId="0" borderId="10" xfId="2" applyFont="1" applyBorder="1"/>
    <xf numFmtId="165" fontId="20" fillId="0" borderId="26" xfId="7" applyNumberFormat="1" applyFont="1" applyBorder="1" applyAlignment="1">
      <alignment horizontal="right" vertical="center"/>
    </xf>
    <xf numFmtId="165" fontId="20" fillId="0" borderId="22" xfId="7" applyNumberFormat="1" applyFont="1" applyBorder="1" applyAlignment="1">
      <alignment horizontal="right" vertical="center"/>
    </xf>
    <xf numFmtId="165" fontId="20" fillId="0" borderId="23" xfId="7" applyNumberFormat="1" applyFont="1" applyBorder="1" applyAlignment="1">
      <alignment horizontal="right" vertical="center"/>
    </xf>
    <xf numFmtId="0" fontId="20" fillId="0" borderId="12" xfId="2" applyFont="1" applyBorder="1"/>
    <xf numFmtId="0" fontId="8" fillId="0" borderId="1" xfId="2" applyFont="1" applyBorder="1" applyAlignment="1">
      <alignment horizontal="right"/>
    </xf>
    <xf numFmtId="0" fontId="7" fillId="0" borderId="1" xfId="2" applyFont="1" applyBorder="1" applyAlignment="1">
      <alignment horizontal="right"/>
    </xf>
    <xf numFmtId="0" fontId="10" fillId="0" borderId="1" xfId="4" applyFont="1" applyBorder="1" applyAlignment="1">
      <alignment vertical="center"/>
    </xf>
    <xf numFmtId="0" fontId="6" fillId="0" borderId="1" xfId="4" applyFont="1" applyBorder="1" applyAlignment="1">
      <alignment vertical="center"/>
    </xf>
    <xf numFmtId="165" fontId="20" fillId="0" borderId="1" xfId="4" applyNumberFormat="1" applyFont="1" applyBorder="1" applyAlignment="1">
      <alignment horizontal="right" wrapText="1"/>
    </xf>
    <xf numFmtId="165" fontId="22" fillId="0" borderId="1" xfId="4" applyNumberFormat="1" applyFont="1" applyBorder="1" applyAlignment="1">
      <alignment horizontal="right" wrapText="1"/>
    </xf>
    <xf numFmtId="0" fontId="7" fillId="13" borderId="1" xfId="2" applyFont="1" applyFill="1" applyBorder="1" applyAlignment="1">
      <alignment wrapText="1"/>
    </xf>
    <xf numFmtId="0" fontId="35" fillId="2" borderId="1" xfId="2" applyFont="1" applyFill="1" applyBorder="1" applyAlignment="1">
      <alignment horizontal="center" vertical="center"/>
    </xf>
    <xf numFmtId="49" fontId="24" fillId="0" borderId="1" xfId="2" applyNumberFormat="1" applyFont="1" applyBorder="1" applyAlignment="1">
      <alignment horizontal="right" vertical="center"/>
    </xf>
    <xf numFmtId="0" fontId="20" fillId="0" borderId="1" xfId="0" applyFont="1" applyBorder="1" applyAlignment="1">
      <alignment horizontal="right" wrapText="1"/>
    </xf>
    <xf numFmtId="0" fontId="20" fillId="0" borderId="1" xfId="0" applyFont="1" applyBorder="1" applyAlignment="1">
      <alignment wrapText="1"/>
    </xf>
    <xf numFmtId="0" fontId="22" fillId="0" borderId="1" xfId="0" applyFont="1" applyBorder="1" applyAlignment="1">
      <alignment vertical="center"/>
    </xf>
    <xf numFmtId="49" fontId="22" fillId="0" borderId="1" xfId="2" applyNumberFormat="1" applyFont="1" applyBorder="1" applyAlignment="1">
      <alignment horizontal="center" vertical="center"/>
    </xf>
    <xf numFmtId="4" fontId="5" fillId="9" borderId="1" xfId="0" applyNumberFormat="1" applyFont="1" applyFill="1" applyBorder="1" applyAlignment="1">
      <alignment horizontal="right" vertical="center" wrapText="1"/>
    </xf>
    <xf numFmtId="4" fontId="5" fillId="9" borderId="9" xfId="0" applyNumberFormat="1" applyFont="1" applyFill="1" applyBorder="1" applyAlignment="1">
      <alignment horizontal="right" vertical="center" wrapText="1"/>
    </xf>
    <xf numFmtId="4" fontId="7" fillId="9" borderId="9" xfId="0" quotePrefix="1" applyNumberFormat="1" applyFont="1" applyFill="1" applyBorder="1" applyAlignment="1">
      <alignment horizontal="right" vertical="center" wrapText="1"/>
    </xf>
    <xf numFmtId="0" fontId="5" fillId="9" borderId="9" xfId="0" applyFont="1" applyFill="1" applyBorder="1" applyAlignment="1">
      <alignment horizontal="right" vertical="center"/>
    </xf>
    <xf numFmtId="4" fontId="5" fillId="9" borderId="9" xfId="0" applyNumberFormat="1" applyFont="1" applyFill="1" applyBorder="1" applyAlignment="1">
      <alignment horizontal="right" wrapText="1"/>
    </xf>
    <xf numFmtId="2" fontId="10" fillId="4" borderId="1" xfId="2" applyNumberFormat="1" applyFont="1" applyFill="1" applyBorder="1" applyAlignment="1">
      <alignment horizontal="right" vertical="center"/>
    </xf>
    <xf numFmtId="2" fontId="6" fillId="4" borderId="1" xfId="2" applyNumberFormat="1" applyFont="1" applyFill="1" applyBorder="1" applyAlignment="1">
      <alignment horizontal="right" vertical="center"/>
    </xf>
    <xf numFmtId="0" fontId="14" fillId="0" borderId="1" xfId="2" applyFont="1" applyBorder="1" applyAlignment="1">
      <alignment vertical="center"/>
    </xf>
    <xf numFmtId="165" fontId="20" fillId="0" borderId="1" xfId="4" applyNumberFormat="1" applyFont="1" applyBorder="1" applyAlignment="1">
      <alignment vertical="center" wrapText="1"/>
    </xf>
    <xf numFmtId="49" fontId="20" fillId="3" borderId="1" xfId="2" applyNumberFormat="1" applyFont="1" applyFill="1" applyBorder="1" applyAlignment="1">
      <alignment vertical="center"/>
    </xf>
    <xf numFmtId="49" fontId="22" fillId="3" borderId="1" xfId="2" applyNumberFormat="1" applyFont="1" applyFill="1" applyBorder="1" applyAlignment="1">
      <alignment vertical="center"/>
    </xf>
    <xf numFmtId="0" fontId="20" fillId="0" borderId="1" xfId="2" applyFont="1" applyBorder="1" applyAlignment="1">
      <alignment horizontal="left" vertical="center"/>
    </xf>
    <xf numFmtId="165" fontId="20" fillId="0" borderId="1" xfId="2" applyNumberFormat="1" applyFont="1" applyBorder="1" applyAlignment="1">
      <alignment horizontal="center" vertical="center"/>
    </xf>
    <xf numFmtId="0" fontId="17" fillId="0" borderId="3" xfId="2" applyFont="1" applyBorder="1" applyAlignment="1">
      <alignment vertical="center"/>
    </xf>
    <xf numFmtId="0" fontId="27" fillId="0" borderId="1" xfId="2" applyFont="1" applyBorder="1" applyAlignment="1">
      <alignment vertical="center"/>
    </xf>
    <xf numFmtId="0" fontId="22" fillId="0" borderId="1" xfId="2" applyFont="1" applyBorder="1" applyAlignment="1">
      <alignment horizontal="center" vertical="center"/>
    </xf>
    <xf numFmtId="0" fontId="23" fillId="10" borderId="28" xfId="1" applyFont="1" applyFill="1" applyBorder="1" applyAlignment="1">
      <alignment horizontal="center" vertical="center" wrapText="1"/>
    </xf>
    <xf numFmtId="0" fontId="20" fillId="2" borderId="1" xfId="1" applyFont="1" applyFill="1" applyBorder="1" applyAlignment="1">
      <alignment horizontal="center" vertical="center" wrapText="1"/>
    </xf>
    <xf numFmtId="0" fontId="23" fillId="2" borderId="28" xfId="1" applyFont="1" applyFill="1" applyBorder="1" applyAlignment="1">
      <alignment horizontal="center" vertical="center" wrapText="1"/>
    </xf>
    <xf numFmtId="0" fontId="7" fillId="10" borderId="1" xfId="2" applyFont="1" applyFill="1" applyBorder="1" applyAlignment="1">
      <alignment horizontal="left" vertical="center"/>
    </xf>
    <xf numFmtId="49" fontId="20" fillId="0" borderId="29" xfId="7" applyNumberFormat="1" applyFont="1" applyBorder="1" applyAlignment="1">
      <alignment vertical="center" wrapText="1"/>
    </xf>
    <xf numFmtId="49" fontId="20" fillId="7" borderId="1" xfId="4" applyNumberFormat="1" applyFont="1" applyFill="1" applyBorder="1" applyAlignment="1">
      <alignment horizontal="left" vertical="center" wrapText="1"/>
    </xf>
    <xf numFmtId="49" fontId="21" fillId="6" borderId="1" xfId="4" applyNumberFormat="1" applyFont="1" applyFill="1" applyBorder="1" applyAlignment="1">
      <alignment horizontal="center" vertical="center"/>
    </xf>
    <xf numFmtId="49" fontId="21" fillId="6" borderId="1" xfId="4" applyNumberFormat="1" applyFont="1" applyFill="1" applyBorder="1" applyAlignment="1">
      <alignment vertical="center"/>
    </xf>
    <xf numFmtId="165" fontId="22" fillId="0" borderId="1" xfId="2" quotePrefix="1" applyNumberFormat="1" applyFont="1" applyBorder="1" applyAlignment="1">
      <alignment vertical="center"/>
    </xf>
    <xf numFmtId="0" fontId="25" fillId="0" borderId="8" xfId="2" applyFont="1" applyBorder="1" applyAlignment="1">
      <alignment vertical="center"/>
    </xf>
    <xf numFmtId="0" fontId="25" fillId="4" borderId="8" xfId="2" applyFont="1" applyFill="1" applyBorder="1" applyAlignment="1">
      <alignment horizontal="center" vertical="center"/>
    </xf>
    <xf numFmtId="49" fontId="25" fillId="5" borderId="8" xfId="2" applyNumberFormat="1" applyFont="1" applyFill="1" applyBorder="1" applyAlignment="1">
      <alignment horizontal="right" vertical="center"/>
    </xf>
    <xf numFmtId="49" fontId="25" fillId="5" borderId="8" xfId="2" applyNumberFormat="1" applyFont="1" applyFill="1" applyBorder="1" applyAlignment="1">
      <alignment vertical="center"/>
    </xf>
    <xf numFmtId="0" fontId="25" fillId="0" borderId="8" xfId="2" applyFont="1" applyBorder="1" applyAlignment="1">
      <alignment horizontal="center" vertical="center"/>
    </xf>
    <xf numFmtId="0" fontId="31" fillId="2" borderId="8" xfId="2" applyFont="1" applyFill="1" applyBorder="1" applyAlignment="1">
      <alignment horizontal="center" vertical="center"/>
    </xf>
    <xf numFmtId="49" fontId="25" fillId="3" borderId="8" xfId="2" applyNumberFormat="1" applyFont="1" applyFill="1" applyBorder="1" applyAlignment="1">
      <alignment horizontal="right" vertical="center"/>
    </xf>
    <xf numFmtId="165" fontId="25" fillId="8" borderId="8" xfId="2" applyNumberFormat="1" applyFont="1" applyFill="1" applyBorder="1" applyAlignment="1">
      <alignment horizontal="right" vertical="center" wrapText="1"/>
    </xf>
    <xf numFmtId="0" fontId="25" fillId="8" borderId="1" xfId="2" applyFont="1" applyFill="1" applyBorder="1" applyAlignment="1">
      <alignment horizontal="right" vertical="center"/>
    </xf>
    <xf numFmtId="0" fontId="8" fillId="2" borderId="1" xfId="2" applyFont="1" applyFill="1" applyBorder="1" applyAlignment="1">
      <alignment vertical="center"/>
    </xf>
    <xf numFmtId="0" fontId="25" fillId="2" borderId="1" xfId="2" applyFont="1" applyFill="1" applyBorder="1" applyAlignment="1">
      <alignment vertical="center"/>
    </xf>
    <xf numFmtId="0" fontId="36" fillId="0" borderId="0" xfId="0" applyFont="1" applyAlignment="1">
      <alignment horizontal="center" vertical="center" wrapText="1"/>
    </xf>
    <xf numFmtId="0" fontId="7" fillId="0" borderId="12" xfId="0" quotePrefix="1" applyFont="1" applyBorder="1" applyAlignment="1">
      <alignment horizontal="left" vertical="center" wrapText="1"/>
    </xf>
    <xf numFmtId="0" fontId="8" fillId="0" borderId="13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11" xfId="0" applyFont="1" applyBorder="1" applyAlignment="1">
      <alignment horizontal="left" wrapText="1"/>
    </xf>
    <xf numFmtId="0" fontId="5" fillId="0" borderId="12" xfId="0" quotePrefix="1" applyFont="1" applyBorder="1" applyAlignment="1">
      <alignment horizontal="center" wrapText="1"/>
    </xf>
    <xf numFmtId="0" fontId="5" fillId="0" borderId="13" xfId="0" quotePrefix="1" applyFont="1" applyBorder="1" applyAlignment="1">
      <alignment horizontal="center" wrapText="1"/>
    </xf>
    <xf numFmtId="0" fontId="5" fillId="0" borderId="9" xfId="0" quotePrefix="1" applyFont="1" applyBorder="1" applyAlignment="1">
      <alignment horizontal="center" wrapText="1"/>
    </xf>
    <xf numFmtId="0" fontId="5" fillId="0" borderId="1" xfId="0" quotePrefix="1" applyFont="1" applyBorder="1" applyAlignment="1">
      <alignment horizontal="center" wrapText="1"/>
    </xf>
    <xf numFmtId="0" fontId="7" fillId="9" borderId="12" xfId="0" applyFont="1" applyFill="1" applyBorder="1" applyAlignment="1">
      <alignment horizontal="left" vertical="center" wrapText="1"/>
    </xf>
    <xf numFmtId="0" fontId="8" fillId="9" borderId="13" xfId="0" applyFont="1" applyFill="1" applyBorder="1" applyAlignment="1">
      <alignment vertical="center" wrapText="1"/>
    </xf>
    <xf numFmtId="0" fontId="8" fillId="9" borderId="13" xfId="0" applyFont="1" applyFill="1" applyBorder="1" applyAlignment="1">
      <alignment vertical="center"/>
    </xf>
    <xf numFmtId="0" fontId="7" fillId="0" borderId="12" xfId="0" applyFont="1" applyBorder="1" applyAlignment="1">
      <alignment horizontal="left" vertical="center" wrapText="1"/>
    </xf>
    <xf numFmtId="0" fontId="8" fillId="0" borderId="13" xfId="0" applyFont="1" applyBorder="1" applyAlignment="1">
      <alignment vertical="center"/>
    </xf>
    <xf numFmtId="0" fontId="7" fillId="0" borderId="12" xfId="0" quotePrefix="1" applyFont="1" applyBorder="1" applyAlignment="1">
      <alignment horizontal="left" vertical="center"/>
    </xf>
    <xf numFmtId="0" fontId="7" fillId="9" borderId="12" xfId="0" quotePrefix="1" applyFont="1" applyFill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9" borderId="13" xfId="0" applyFont="1" applyFill="1" applyBorder="1" applyAlignment="1">
      <alignment horizontal="left" vertical="center" wrapText="1"/>
    </xf>
    <xf numFmtId="0" fontId="5" fillId="9" borderId="1" xfId="0" applyFont="1" applyFill="1" applyBorder="1" applyAlignment="1">
      <alignment horizontal="left" vertical="center" wrapText="1"/>
    </xf>
    <xf numFmtId="0" fontId="5" fillId="9" borderId="12" xfId="0" applyFont="1" applyFill="1" applyBorder="1" applyAlignment="1">
      <alignment horizontal="left" vertical="center" wrapText="1"/>
    </xf>
    <xf numFmtId="0" fontId="5" fillId="9" borderId="13" xfId="0" applyFont="1" applyFill="1" applyBorder="1" applyAlignment="1">
      <alignment horizontal="left" vertical="center" wrapText="1"/>
    </xf>
    <xf numFmtId="0" fontId="5" fillId="9" borderId="9" xfId="0" applyFont="1" applyFill="1" applyBorder="1" applyAlignment="1">
      <alignment horizontal="left" vertical="center" wrapText="1"/>
    </xf>
    <xf numFmtId="0" fontId="5" fillId="9" borderId="12" xfId="0" applyFont="1" applyFill="1" applyBorder="1" applyAlignment="1">
      <alignment horizontal="left" vertical="center"/>
    </xf>
    <xf numFmtId="0" fontId="5" fillId="9" borderId="13" xfId="0" applyFont="1" applyFill="1" applyBorder="1" applyAlignment="1">
      <alignment horizontal="left" vertical="center"/>
    </xf>
    <xf numFmtId="0" fontId="5" fillId="9" borderId="9" xfId="0" applyFont="1" applyFill="1" applyBorder="1" applyAlignment="1">
      <alignment horizontal="left" vertical="center"/>
    </xf>
    <xf numFmtId="0" fontId="7" fillId="9" borderId="13" xfId="0" quotePrefix="1" applyFont="1" applyFill="1" applyBorder="1" applyAlignment="1">
      <alignment horizontal="left" vertical="center" wrapText="1"/>
    </xf>
    <xf numFmtId="0" fontId="7" fillId="9" borderId="9" xfId="0" quotePrefix="1" applyFont="1" applyFill="1" applyBorder="1" applyAlignment="1">
      <alignment horizontal="left" vertical="center" wrapText="1"/>
    </xf>
    <xf numFmtId="0" fontId="7" fillId="12" borderId="12" xfId="2" applyFont="1" applyFill="1" applyBorder="1" applyAlignment="1">
      <alignment horizontal="center" vertical="center"/>
    </xf>
    <xf numFmtId="0" fontId="7" fillId="12" borderId="13" xfId="2" applyFont="1" applyFill="1" applyBorder="1" applyAlignment="1">
      <alignment horizontal="center" vertical="center"/>
    </xf>
    <xf numFmtId="0" fontId="7" fillId="12" borderId="9" xfId="2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2" borderId="0" xfId="1" applyFont="1" applyFill="1" applyAlignment="1">
      <alignment horizontal="center" vertical="center" wrapText="1"/>
    </xf>
    <xf numFmtId="0" fontId="15" fillId="0" borderId="0" xfId="2" applyFont="1" applyAlignment="1">
      <alignment horizontal="center" wrapText="1"/>
    </xf>
    <xf numFmtId="3" fontId="11" fillId="3" borderId="11" xfId="2" applyNumberFormat="1" applyFont="1" applyFill="1" applyBorder="1" applyAlignment="1">
      <alignment horizontal="center" vertical="center" wrapText="1"/>
    </xf>
    <xf numFmtId="3" fontId="7" fillId="3" borderId="0" xfId="2" applyNumberFormat="1" applyFont="1" applyFill="1" applyAlignment="1">
      <alignment horizontal="center" vertical="center" wrapText="1"/>
    </xf>
    <xf numFmtId="0" fontId="19" fillId="0" borderId="12" xfId="2" applyFont="1" applyBorder="1" applyAlignment="1">
      <alignment horizontal="center"/>
    </xf>
    <xf numFmtId="0" fontId="19" fillId="0" borderId="13" xfId="2" applyFont="1" applyBorder="1" applyAlignment="1">
      <alignment horizontal="center"/>
    </xf>
    <xf numFmtId="0" fontId="19" fillId="0" borderId="9" xfId="2" applyFont="1" applyBorder="1" applyAlignment="1">
      <alignment horizontal="center"/>
    </xf>
    <xf numFmtId="0" fontId="7" fillId="12" borderId="12" xfId="2" applyFont="1" applyFill="1" applyBorder="1" applyAlignment="1">
      <alignment horizontal="center"/>
    </xf>
    <xf numFmtId="0" fontId="7" fillId="12" borderId="13" xfId="2" applyFont="1" applyFill="1" applyBorder="1" applyAlignment="1">
      <alignment horizontal="center"/>
    </xf>
    <xf numFmtId="0" fontId="7" fillId="12" borderId="9" xfId="2" applyFont="1" applyFill="1" applyBorder="1" applyAlignment="1">
      <alignment horizontal="center"/>
    </xf>
    <xf numFmtId="0" fontId="7" fillId="2" borderId="0" xfId="1" applyFont="1" applyFill="1" applyAlignment="1">
      <alignment horizontal="center" vertical="center" wrapText="1"/>
    </xf>
    <xf numFmtId="0" fontId="7" fillId="2" borderId="0" xfId="1" applyFont="1" applyFill="1" applyAlignment="1">
      <alignment horizontal="center" vertical="center"/>
    </xf>
    <xf numFmtId="0" fontId="8" fillId="0" borderId="0" xfId="2" applyFont="1" applyAlignment="1">
      <alignment horizontal="center" wrapText="1"/>
    </xf>
    <xf numFmtId="3" fontId="7" fillId="3" borderId="10" xfId="2" applyNumberFormat="1" applyFont="1" applyFill="1" applyBorder="1" applyAlignment="1">
      <alignment horizontal="center" vertical="center" wrapText="1"/>
    </xf>
    <xf numFmtId="3" fontId="7" fillId="3" borderId="11" xfId="2" applyNumberFormat="1" applyFont="1" applyFill="1" applyBorder="1" applyAlignment="1">
      <alignment horizontal="center" vertical="center" wrapText="1"/>
    </xf>
    <xf numFmtId="3" fontId="8" fillId="4" borderId="12" xfId="2" applyNumberFormat="1" applyFont="1" applyFill="1" applyBorder="1" applyAlignment="1">
      <alignment horizontal="center" vertical="center" wrapText="1"/>
    </xf>
    <xf numFmtId="3" fontId="8" fillId="4" borderId="13" xfId="2" applyNumberFormat="1" applyFont="1" applyFill="1" applyBorder="1" applyAlignment="1">
      <alignment horizontal="center" vertical="center" wrapText="1"/>
    </xf>
    <xf numFmtId="3" fontId="8" fillId="4" borderId="9" xfId="2" applyNumberFormat="1" applyFont="1" applyFill="1" applyBorder="1" applyAlignment="1">
      <alignment horizontal="center" vertical="center" wrapText="1"/>
    </xf>
    <xf numFmtId="3" fontId="20" fillId="4" borderId="4" xfId="2" applyNumberFormat="1" applyFont="1" applyFill="1" applyBorder="1" applyAlignment="1">
      <alignment horizontal="right" vertical="center"/>
    </xf>
    <xf numFmtId="3" fontId="20" fillId="4" borderId="5" xfId="2" applyNumberFormat="1" applyFont="1" applyFill="1" applyBorder="1" applyAlignment="1">
      <alignment horizontal="right" vertical="center"/>
    </xf>
    <xf numFmtId="3" fontId="20" fillId="4" borderId="6" xfId="2" applyNumberFormat="1" applyFont="1" applyFill="1" applyBorder="1" applyAlignment="1">
      <alignment horizontal="right" vertical="center"/>
    </xf>
    <xf numFmtId="0" fontId="20" fillId="2" borderId="0" xfId="1" applyFont="1" applyFill="1" applyAlignment="1">
      <alignment horizontal="center" vertical="center" wrapText="1"/>
    </xf>
    <xf numFmtId="3" fontId="20" fillId="3" borderId="0" xfId="2" applyNumberFormat="1" applyFont="1" applyFill="1" applyAlignment="1">
      <alignment horizontal="center" vertical="center" wrapText="1"/>
    </xf>
    <xf numFmtId="0" fontId="23" fillId="3" borderId="1" xfId="2" applyFont="1" applyFill="1" applyBorder="1" applyAlignment="1">
      <alignment horizontal="center" vertical="center" wrapText="1"/>
    </xf>
    <xf numFmtId="3" fontId="20" fillId="4" borderId="30" xfId="2" applyNumberFormat="1" applyFont="1" applyFill="1" applyBorder="1" applyAlignment="1">
      <alignment horizontal="right" vertical="center"/>
    </xf>
    <xf numFmtId="3" fontId="20" fillId="4" borderId="0" xfId="2" applyNumberFormat="1" applyFont="1" applyFill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2" fillId="2" borderId="0" xfId="1" applyFont="1" applyFill="1" applyAlignment="1">
      <alignment wrapText="1"/>
    </xf>
    <xf numFmtId="0" fontId="22" fillId="2" borderId="0" xfId="1" applyFont="1" applyFill="1" applyAlignment="1">
      <alignment vertical="center" wrapText="1"/>
    </xf>
  </cellXfs>
  <cellStyles count="8">
    <cellStyle name="Normalno" xfId="0" builtinId="0"/>
    <cellStyle name="Normalno 2" xfId="1" xr:uid="{00000000-0005-0000-0000-000001000000}"/>
    <cellStyle name="Normalno 3" xfId="4" xr:uid="{00000000-0005-0000-0000-000002000000}"/>
    <cellStyle name="Normalno 3 3" xfId="5" xr:uid="{00000000-0005-0000-0000-000003000000}"/>
    <cellStyle name="Normalno 4" xfId="7" xr:uid="{00000000-0005-0000-0000-000004000000}"/>
    <cellStyle name="Obično 4" xfId="2" xr:uid="{00000000-0005-0000-0000-000005000000}"/>
    <cellStyle name="Obično_List9" xfId="6" xr:uid="{00000000-0005-0000-0000-000006000000}"/>
    <cellStyle name="Valuta 3" xfId="3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40"/>
  <sheetViews>
    <sheetView tabSelected="1" topLeftCell="B1" workbookViewId="0">
      <selection activeCell="B1" sqref="B1:K2"/>
    </sheetView>
  </sheetViews>
  <sheetFormatPr defaultRowHeight="15.75" x14ac:dyDescent="0.25"/>
  <cols>
    <col min="1" max="1" width="0" style="6" hidden="1" customWidth="1"/>
    <col min="2" max="5" width="9.140625" style="6"/>
    <col min="6" max="6" width="25.28515625" style="6" customWidth="1"/>
    <col min="7" max="7" width="13.5703125" style="6" hidden="1" customWidth="1"/>
    <col min="8" max="8" width="19.85546875" style="6" hidden="1" customWidth="1"/>
    <col min="9" max="9" width="14.28515625" style="6" bestFit="1" customWidth="1"/>
    <col min="10" max="11" width="18.85546875" style="6" bestFit="1" customWidth="1"/>
    <col min="12" max="262" width="9.140625" style="6"/>
    <col min="263" max="263" width="25.28515625" style="6" customWidth="1"/>
    <col min="264" max="264" width="17" style="6" bestFit="1" customWidth="1"/>
    <col min="265" max="265" width="20.28515625" style="6" customWidth="1"/>
    <col min="266" max="266" width="22" style="6" customWidth="1"/>
    <col min="267" max="518" width="9.140625" style="6"/>
    <col min="519" max="519" width="25.28515625" style="6" customWidth="1"/>
    <col min="520" max="520" width="17" style="6" bestFit="1" customWidth="1"/>
    <col min="521" max="521" width="20.28515625" style="6" customWidth="1"/>
    <col min="522" max="522" width="22" style="6" customWidth="1"/>
    <col min="523" max="774" width="9.140625" style="6"/>
    <col min="775" max="775" width="25.28515625" style="6" customWidth="1"/>
    <col min="776" max="776" width="17" style="6" bestFit="1" customWidth="1"/>
    <col min="777" max="777" width="20.28515625" style="6" customWidth="1"/>
    <col min="778" max="778" width="22" style="6" customWidth="1"/>
    <col min="779" max="1030" width="9.140625" style="6"/>
    <col min="1031" max="1031" width="25.28515625" style="6" customWidth="1"/>
    <col min="1032" max="1032" width="17" style="6" bestFit="1" customWidth="1"/>
    <col min="1033" max="1033" width="20.28515625" style="6" customWidth="1"/>
    <col min="1034" max="1034" width="22" style="6" customWidth="1"/>
    <col min="1035" max="1286" width="9.140625" style="6"/>
    <col min="1287" max="1287" width="25.28515625" style="6" customWidth="1"/>
    <col min="1288" max="1288" width="17" style="6" bestFit="1" customWidth="1"/>
    <col min="1289" max="1289" width="20.28515625" style="6" customWidth="1"/>
    <col min="1290" max="1290" width="22" style="6" customWidth="1"/>
    <col min="1291" max="1542" width="9.140625" style="6"/>
    <col min="1543" max="1543" width="25.28515625" style="6" customWidth="1"/>
    <col min="1544" max="1544" width="17" style="6" bestFit="1" customWidth="1"/>
    <col min="1545" max="1545" width="20.28515625" style="6" customWidth="1"/>
    <col min="1546" max="1546" width="22" style="6" customWidth="1"/>
    <col min="1547" max="1798" width="9.140625" style="6"/>
    <col min="1799" max="1799" width="25.28515625" style="6" customWidth="1"/>
    <col min="1800" max="1800" width="17" style="6" bestFit="1" customWidth="1"/>
    <col min="1801" max="1801" width="20.28515625" style="6" customWidth="1"/>
    <col min="1802" max="1802" width="22" style="6" customWidth="1"/>
    <col min="1803" max="2054" width="9.140625" style="6"/>
    <col min="2055" max="2055" width="25.28515625" style="6" customWidth="1"/>
    <col min="2056" max="2056" width="17" style="6" bestFit="1" customWidth="1"/>
    <col min="2057" max="2057" width="20.28515625" style="6" customWidth="1"/>
    <col min="2058" max="2058" width="22" style="6" customWidth="1"/>
    <col min="2059" max="2310" width="9.140625" style="6"/>
    <col min="2311" max="2311" width="25.28515625" style="6" customWidth="1"/>
    <col min="2312" max="2312" width="17" style="6" bestFit="1" customWidth="1"/>
    <col min="2313" max="2313" width="20.28515625" style="6" customWidth="1"/>
    <col min="2314" max="2314" width="22" style="6" customWidth="1"/>
    <col min="2315" max="2566" width="9.140625" style="6"/>
    <col min="2567" max="2567" width="25.28515625" style="6" customWidth="1"/>
    <col min="2568" max="2568" width="17" style="6" bestFit="1" customWidth="1"/>
    <col min="2569" max="2569" width="20.28515625" style="6" customWidth="1"/>
    <col min="2570" max="2570" width="22" style="6" customWidth="1"/>
    <col min="2571" max="2822" width="9.140625" style="6"/>
    <col min="2823" max="2823" width="25.28515625" style="6" customWidth="1"/>
    <col min="2824" max="2824" width="17" style="6" bestFit="1" customWidth="1"/>
    <col min="2825" max="2825" width="20.28515625" style="6" customWidth="1"/>
    <col min="2826" max="2826" width="22" style="6" customWidth="1"/>
    <col min="2827" max="3078" width="9.140625" style="6"/>
    <col min="3079" max="3079" width="25.28515625" style="6" customWidth="1"/>
    <col min="3080" max="3080" width="17" style="6" bestFit="1" customWidth="1"/>
    <col min="3081" max="3081" width="20.28515625" style="6" customWidth="1"/>
    <col min="3082" max="3082" width="22" style="6" customWidth="1"/>
    <col min="3083" max="3334" width="9.140625" style="6"/>
    <col min="3335" max="3335" width="25.28515625" style="6" customWidth="1"/>
    <col min="3336" max="3336" width="17" style="6" bestFit="1" customWidth="1"/>
    <col min="3337" max="3337" width="20.28515625" style="6" customWidth="1"/>
    <col min="3338" max="3338" width="22" style="6" customWidth="1"/>
    <col min="3339" max="3590" width="9.140625" style="6"/>
    <col min="3591" max="3591" width="25.28515625" style="6" customWidth="1"/>
    <col min="3592" max="3592" width="17" style="6" bestFit="1" customWidth="1"/>
    <col min="3593" max="3593" width="20.28515625" style="6" customWidth="1"/>
    <col min="3594" max="3594" width="22" style="6" customWidth="1"/>
    <col min="3595" max="3846" width="9.140625" style="6"/>
    <col min="3847" max="3847" width="25.28515625" style="6" customWidth="1"/>
    <col min="3848" max="3848" width="17" style="6" bestFit="1" customWidth="1"/>
    <col min="3849" max="3849" width="20.28515625" style="6" customWidth="1"/>
    <col min="3850" max="3850" width="22" style="6" customWidth="1"/>
    <col min="3851" max="4102" width="9.140625" style="6"/>
    <col min="4103" max="4103" width="25.28515625" style="6" customWidth="1"/>
    <col min="4104" max="4104" width="17" style="6" bestFit="1" customWidth="1"/>
    <col min="4105" max="4105" width="20.28515625" style="6" customWidth="1"/>
    <col min="4106" max="4106" width="22" style="6" customWidth="1"/>
    <col min="4107" max="4358" width="9.140625" style="6"/>
    <col min="4359" max="4359" width="25.28515625" style="6" customWidth="1"/>
    <col min="4360" max="4360" width="17" style="6" bestFit="1" customWidth="1"/>
    <col min="4361" max="4361" width="20.28515625" style="6" customWidth="1"/>
    <col min="4362" max="4362" width="22" style="6" customWidth="1"/>
    <col min="4363" max="4614" width="9.140625" style="6"/>
    <col min="4615" max="4615" width="25.28515625" style="6" customWidth="1"/>
    <col min="4616" max="4616" width="17" style="6" bestFit="1" customWidth="1"/>
    <col min="4617" max="4617" width="20.28515625" style="6" customWidth="1"/>
    <col min="4618" max="4618" width="22" style="6" customWidth="1"/>
    <col min="4619" max="4870" width="9.140625" style="6"/>
    <col min="4871" max="4871" width="25.28515625" style="6" customWidth="1"/>
    <col min="4872" max="4872" width="17" style="6" bestFit="1" customWidth="1"/>
    <col min="4873" max="4873" width="20.28515625" style="6" customWidth="1"/>
    <col min="4874" max="4874" width="22" style="6" customWidth="1"/>
    <col min="4875" max="5126" width="9.140625" style="6"/>
    <col min="5127" max="5127" width="25.28515625" style="6" customWidth="1"/>
    <col min="5128" max="5128" width="17" style="6" bestFit="1" customWidth="1"/>
    <col min="5129" max="5129" width="20.28515625" style="6" customWidth="1"/>
    <col min="5130" max="5130" width="22" style="6" customWidth="1"/>
    <col min="5131" max="5382" width="9.140625" style="6"/>
    <col min="5383" max="5383" width="25.28515625" style="6" customWidth="1"/>
    <col min="5384" max="5384" width="17" style="6" bestFit="1" customWidth="1"/>
    <col min="5385" max="5385" width="20.28515625" style="6" customWidth="1"/>
    <col min="5386" max="5386" width="22" style="6" customWidth="1"/>
    <col min="5387" max="5638" width="9.140625" style="6"/>
    <col min="5639" max="5639" width="25.28515625" style="6" customWidth="1"/>
    <col min="5640" max="5640" width="17" style="6" bestFit="1" customWidth="1"/>
    <col min="5641" max="5641" width="20.28515625" style="6" customWidth="1"/>
    <col min="5642" max="5642" width="22" style="6" customWidth="1"/>
    <col min="5643" max="5894" width="9.140625" style="6"/>
    <col min="5895" max="5895" width="25.28515625" style="6" customWidth="1"/>
    <col min="5896" max="5896" width="17" style="6" bestFit="1" customWidth="1"/>
    <col min="5897" max="5897" width="20.28515625" style="6" customWidth="1"/>
    <col min="5898" max="5898" width="22" style="6" customWidth="1"/>
    <col min="5899" max="6150" width="9.140625" style="6"/>
    <col min="6151" max="6151" width="25.28515625" style="6" customWidth="1"/>
    <col min="6152" max="6152" width="17" style="6" bestFit="1" customWidth="1"/>
    <col min="6153" max="6153" width="20.28515625" style="6" customWidth="1"/>
    <col min="6154" max="6154" width="22" style="6" customWidth="1"/>
    <col min="6155" max="6406" width="9.140625" style="6"/>
    <col min="6407" max="6407" width="25.28515625" style="6" customWidth="1"/>
    <col min="6408" max="6408" width="17" style="6" bestFit="1" customWidth="1"/>
    <col min="6409" max="6409" width="20.28515625" style="6" customWidth="1"/>
    <col min="6410" max="6410" width="22" style="6" customWidth="1"/>
    <col min="6411" max="6662" width="9.140625" style="6"/>
    <col min="6663" max="6663" width="25.28515625" style="6" customWidth="1"/>
    <col min="6664" max="6664" width="17" style="6" bestFit="1" customWidth="1"/>
    <col min="6665" max="6665" width="20.28515625" style="6" customWidth="1"/>
    <col min="6666" max="6666" width="22" style="6" customWidth="1"/>
    <col min="6667" max="6918" width="9.140625" style="6"/>
    <col min="6919" max="6919" width="25.28515625" style="6" customWidth="1"/>
    <col min="6920" max="6920" width="17" style="6" bestFit="1" customWidth="1"/>
    <col min="6921" max="6921" width="20.28515625" style="6" customWidth="1"/>
    <col min="6922" max="6922" width="22" style="6" customWidth="1"/>
    <col min="6923" max="7174" width="9.140625" style="6"/>
    <col min="7175" max="7175" width="25.28515625" style="6" customWidth="1"/>
    <col min="7176" max="7176" width="17" style="6" bestFit="1" customWidth="1"/>
    <col min="7177" max="7177" width="20.28515625" style="6" customWidth="1"/>
    <col min="7178" max="7178" width="22" style="6" customWidth="1"/>
    <col min="7179" max="7430" width="9.140625" style="6"/>
    <col min="7431" max="7431" width="25.28515625" style="6" customWidth="1"/>
    <col min="7432" max="7432" width="17" style="6" bestFit="1" customWidth="1"/>
    <col min="7433" max="7433" width="20.28515625" style="6" customWidth="1"/>
    <col min="7434" max="7434" width="22" style="6" customWidth="1"/>
    <col min="7435" max="7686" width="9.140625" style="6"/>
    <col min="7687" max="7687" width="25.28515625" style="6" customWidth="1"/>
    <col min="7688" max="7688" width="17" style="6" bestFit="1" customWidth="1"/>
    <col min="7689" max="7689" width="20.28515625" style="6" customWidth="1"/>
    <col min="7690" max="7690" width="22" style="6" customWidth="1"/>
    <col min="7691" max="7942" width="9.140625" style="6"/>
    <col min="7943" max="7943" width="25.28515625" style="6" customWidth="1"/>
    <col min="7944" max="7944" width="17" style="6" bestFit="1" customWidth="1"/>
    <col min="7945" max="7945" width="20.28515625" style="6" customWidth="1"/>
    <col min="7946" max="7946" width="22" style="6" customWidth="1"/>
    <col min="7947" max="8198" width="9.140625" style="6"/>
    <col min="8199" max="8199" width="25.28515625" style="6" customWidth="1"/>
    <col min="8200" max="8200" width="17" style="6" bestFit="1" customWidth="1"/>
    <col min="8201" max="8201" width="20.28515625" style="6" customWidth="1"/>
    <col min="8202" max="8202" width="22" style="6" customWidth="1"/>
    <col min="8203" max="8454" width="9.140625" style="6"/>
    <col min="8455" max="8455" width="25.28515625" style="6" customWidth="1"/>
    <col min="8456" max="8456" width="17" style="6" bestFit="1" customWidth="1"/>
    <col min="8457" max="8457" width="20.28515625" style="6" customWidth="1"/>
    <col min="8458" max="8458" width="22" style="6" customWidth="1"/>
    <col min="8459" max="8710" width="9.140625" style="6"/>
    <col min="8711" max="8711" width="25.28515625" style="6" customWidth="1"/>
    <col min="8712" max="8712" width="17" style="6" bestFit="1" customWidth="1"/>
    <col min="8713" max="8713" width="20.28515625" style="6" customWidth="1"/>
    <col min="8714" max="8714" width="22" style="6" customWidth="1"/>
    <col min="8715" max="8966" width="9.140625" style="6"/>
    <col min="8967" max="8967" width="25.28515625" style="6" customWidth="1"/>
    <col min="8968" max="8968" width="17" style="6" bestFit="1" customWidth="1"/>
    <col min="8969" max="8969" width="20.28515625" style="6" customWidth="1"/>
    <col min="8970" max="8970" width="22" style="6" customWidth="1"/>
    <col min="8971" max="9222" width="9.140625" style="6"/>
    <col min="9223" max="9223" width="25.28515625" style="6" customWidth="1"/>
    <col min="9224" max="9224" width="17" style="6" bestFit="1" customWidth="1"/>
    <col min="9225" max="9225" width="20.28515625" style="6" customWidth="1"/>
    <col min="9226" max="9226" width="22" style="6" customWidth="1"/>
    <col min="9227" max="9478" width="9.140625" style="6"/>
    <col min="9479" max="9479" width="25.28515625" style="6" customWidth="1"/>
    <col min="9480" max="9480" width="17" style="6" bestFit="1" customWidth="1"/>
    <col min="9481" max="9481" width="20.28515625" style="6" customWidth="1"/>
    <col min="9482" max="9482" width="22" style="6" customWidth="1"/>
    <col min="9483" max="9734" width="9.140625" style="6"/>
    <col min="9735" max="9735" width="25.28515625" style="6" customWidth="1"/>
    <col min="9736" max="9736" width="17" style="6" bestFit="1" customWidth="1"/>
    <col min="9737" max="9737" width="20.28515625" style="6" customWidth="1"/>
    <col min="9738" max="9738" width="22" style="6" customWidth="1"/>
    <col min="9739" max="9990" width="9.140625" style="6"/>
    <col min="9991" max="9991" width="25.28515625" style="6" customWidth="1"/>
    <col min="9992" max="9992" width="17" style="6" bestFit="1" customWidth="1"/>
    <col min="9993" max="9993" width="20.28515625" style="6" customWidth="1"/>
    <col min="9994" max="9994" width="22" style="6" customWidth="1"/>
    <col min="9995" max="10246" width="9.140625" style="6"/>
    <col min="10247" max="10247" width="25.28515625" style="6" customWidth="1"/>
    <col min="10248" max="10248" width="17" style="6" bestFit="1" customWidth="1"/>
    <col min="10249" max="10249" width="20.28515625" style="6" customWidth="1"/>
    <col min="10250" max="10250" width="22" style="6" customWidth="1"/>
    <col min="10251" max="10502" width="9.140625" style="6"/>
    <col min="10503" max="10503" width="25.28515625" style="6" customWidth="1"/>
    <col min="10504" max="10504" width="17" style="6" bestFit="1" customWidth="1"/>
    <col min="10505" max="10505" width="20.28515625" style="6" customWidth="1"/>
    <col min="10506" max="10506" width="22" style="6" customWidth="1"/>
    <col min="10507" max="10758" width="9.140625" style="6"/>
    <col min="10759" max="10759" width="25.28515625" style="6" customWidth="1"/>
    <col min="10760" max="10760" width="17" style="6" bestFit="1" customWidth="1"/>
    <col min="10761" max="10761" width="20.28515625" style="6" customWidth="1"/>
    <col min="10762" max="10762" width="22" style="6" customWidth="1"/>
    <col min="10763" max="11014" width="9.140625" style="6"/>
    <col min="11015" max="11015" width="25.28515625" style="6" customWidth="1"/>
    <col min="11016" max="11016" width="17" style="6" bestFit="1" customWidth="1"/>
    <col min="11017" max="11017" width="20.28515625" style="6" customWidth="1"/>
    <col min="11018" max="11018" width="22" style="6" customWidth="1"/>
    <col min="11019" max="11270" width="9.140625" style="6"/>
    <col min="11271" max="11271" width="25.28515625" style="6" customWidth="1"/>
    <col min="11272" max="11272" width="17" style="6" bestFit="1" customWidth="1"/>
    <col min="11273" max="11273" width="20.28515625" style="6" customWidth="1"/>
    <col min="11274" max="11274" width="22" style="6" customWidth="1"/>
    <col min="11275" max="11526" width="9.140625" style="6"/>
    <col min="11527" max="11527" width="25.28515625" style="6" customWidth="1"/>
    <col min="11528" max="11528" width="17" style="6" bestFit="1" customWidth="1"/>
    <col min="11529" max="11529" width="20.28515625" style="6" customWidth="1"/>
    <col min="11530" max="11530" width="22" style="6" customWidth="1"/>
    <col min="11531" max="11782" width="9.140625" style="6"/>
    <col min="11783" max="11783" width="25.28515625" style="6" customWidth="1"/>
    <col min="11784" max="11784" width="17" style="6" bestFit="1" customWidth="1"/>
    <col min="11785" max="11785" width="20.28515625" style="6" customWidth="1"/>
    <col min="11786" max="11786" width="22" style="6" customWidth="1"/>
    <col min="11787" max="12038" width="9.140625" style="6"/>
    <col min="12039" max="12039" width="25.28515625" style="6" customWidth="1"/>
    <col min="12040" max="12040" width="17" style="6" bestFit="1" customWidth="1"/>
    <col min="12041" max="12041" width="20.28515625" style="6" customWidth="1"/>
    <col min="12042" max="12042" width="22" style="6" customWidth="1"/>
    <col min="12043" max="12294" width="9.140625" style="6"/>
    <col min="12295" max="12295" width="25.28515625" style="6" customWidth="1"/>
    <col min="12296" max="12296" width="17" style="6" bestFit="1" customWidth="1"/>
    <col min="12297" max="12297" width="20.28515625" style="6" customWidth="1"/>
    <col min="12298" max="12298" width="22" style="6" customWidth="1"/>
    <col min="12299" max="12550" width="9.140625" style="6"/>
    <col min="12551" max="12551" width="25.28515625" style="6" customWidth="1"/>
    <col min="12552" max="12552" width="17" style="6" bestFit="1" customWidth="1"/>
    <col min="12553" max="12553" width="20.28515625" style="6" customWidth="1"/>
    <col min="12554" max="12554" width="22" style="6" customWidth="1"/>
    <col min="12555" max="12806" width="9.140625" style="6"/>
    <col min="12807" max="12807" width="25.28515625" style="6" customWidth="1"/>
    <col min="12808" max="12808" width="17" style="6" bestFit="1" customWidth="1"/>
    <col min="12809" max="12809" width="20.28515625" style="6" customWidth="1"/>
    <col min="12810" max="12810" width="22" style="6" customWidth="1"/>
    <col min="12811" max="13062" width="9.140625" style="6"/>
    <col min="13063" max="13063" width="25.28515625" style="6" customWidth="1"/>
    <col min="13064" max="13064" width="17" style="6" bestFit="1" customWidth="1"/>
    <col min="13065" max="13065" width="20.28515625" style="6" customWidth="1"/>
    <col min="13066" max="13066" width="22" style="6" customWidth="1"/>
    <col min="13067" max="13318" width="9.140625" style="6"/>
    <col min="13319" max="13319" width="25.28515625" style="6" customWidth="1"/>
    <col min="13320" max="13320" width="17" style="6" bestFit="1" customWidth="1"/>
    <col min="13321" max="13321" width="20.28515625" style="6" customWidth="1"/>
    <col min="13322" max="13322" width="22" style="6" customWidth="1"/>
    <col min="13323" max="13574" width="9.140625" style="6"/>
    <col min="13575" max="13575" width="25.28515625" style="6" customWidth="1"/>
    <col min="13576" max="13576" width="17" style="6" bestFit="1" customWidth="1"/>
    <col min="13577" max="13577" width="20.28515625" style="6" customWidth="1"/>
    <col min="13578" max="13578" width="22" style="6" customWidth="1"/>
    <col min="13579" max="13830" width="9.140625" style="6"/>
    <col min="13831" max="13831" width="25.28515625" style="6" customWidth="1"/>
    <col min="13832" max="13832" width="17" style="6" bestFit="1" customWidth="1"/>
    <col min="13833" max="13833" width="20.28515625" style="6" customWidth="1"/>
    <col min="13834" max="13834" width="22" style="6" customWidth="1"/>
    <col min="13835" max="14086" width="9.140625" style="6"/>
    <col min="14087" max="14087" width="25.28515625" style="6" customWidth="1"/>
    <col min="14088" max="14088" width="17" style="6" bestFit="1" customWidth="1"/>
    <col min="14089" max="14089" width="20.28515625" style="6" customWidth="1"/>
    <col min="14090" max="14090" width="22" style="6" customWidth="1"/>
    <col min="14091" max="14342" width="9.140625" style="6"/>
    <col min="14343" max="14343" width="25.28515625" style="6" customWidth="1"/>
    <col min="14344" max="14344" width="17" style="6" bestFit="1" customWidth="1"/>
    <col min="14345" max="14345" width="20.28515625" style="6" customWidth="1"/>
    <col min="14346" max="14346" width="22" style="6" customWidth="1"/>
    <col min="14347" max="14598" width="9.140625" style="6"/>
    <col min="14599" max="14599" width="25.28515625" style="6" customWidth="1"/>
    <col min="14600" max="14600" width="17" style="6" bestFit="1" customWidth="1"/>
    <col min="14601" max="14601" width="20.28515625" style="6" customWidth="1"/>
    <col min="14602" max="14602" width="22" style="6" customWidth="1"/>
    <col min="14603" max="14854" width="9.140625" style="6"/>
    <col min="14855" max="14855" width="25.28515625" style="6" customWidth="1"/>
    <col min="14856" max="14856" width="17" style="6" bestFit="1" customWidth="1"/>
    <col min="14857" max="14857" width="20.28515625" style="6" customWidth="1"/>
    <col min="14858" max="14858" width="22" style="6" customWidth="1"/>
    <col min="14859" max="15110" width="9.140625" style="6"/>
    <col min="15111" max="15111" width="25.28515625" style="6" customWidth="1"/>
    <col min="15112" max="15112" width="17" style="6" bestFit="1" customWidth="1"/>
    <col min="15113" max="15113" width="20.28515625" style="6" customWidth="1"/>
    <col min="15114" max="15114" width="22" style="6" customWidth="1"/>
    <col min="15115" max="15366" width="9.140625" style="6"/>
    <col min="15367" max="15367" width="25.28515625" style="6" customWidth="1"/>
    <col min="15368" max="15368" width="17" style="6" bestFit="1" customWidth="1"/>
    <col min="15369" max="15369" width="20.28515625" style="6" customWidth="1"/>
    <col min="15370" max="15370" width="22" style="6" customWidth="1"/>
    <col min="15371" max="15622" width="9.140625" style="6"/>
    <col min="15623" max="15623" width="25.28515625" style="6" customWidth="1"/>
    <col min="15624" max="15624" width="17" style="6" bestFit="1" customWidth="1"/>
    <col min="15625" max="15625" width="20.28515625" style="6" customWidth="1"/>
    <col min="15626" max="15626" width="22" style="6" customWidth="1"/>
    <col min="15627" max="15878" width="9.140625" style="6"/>
    <col min="15879" max="15879" width="25.28515625" style="6" customWidth="1"/>
    <col min="15880" max="15880" width="17" style="6" bestFit="1" customWidth="1"/>
    <col min="15881" max="15881" width="20.28515625" style="6" customWidth="1"/>
    <col min="15882" max="15882" width="22" style="6" customWidth="1"/>
    <col min="15883" max="16134" width="9.140625" style="6"/>
    <col min="16135" max="16135" width="25.28515625" style="6" customWidth="1"/>
    <col min="16136" max="16136" width="17" style="6" bestFit="1" customWidth="1"/>
    <col min="16137" max="16137" width="20.28515625" style="6" customWidth="1"/>
    <col min="16138" max="16138" width="22" style="6" customWidth="1"/>
    <col min="16139" max="16384" width="9.140625" style="6"/>
  </cols>
  <sheetData>
    <row r="1" spans="2:11" ht="15.75" customHeight="1" x14ac:dyDescent="0.25">
      <c r="B1" s="532" t="s">
        <v>591</v>
      </c>
      <c r="C1" s="532"/>
      <c r="D1" s="532"/>
      <c r="E1" s="532"/>
      <c r="F1" s="532"/>
      <c r="G1" s="532"/>
      <c r="H1" s="532"/>
      <c r="I1" s="532"/>
      <c r="J1" s="532"/>
      <c r="K1" s="532"/>
    </row>
    <row r="2" spans="2:11" ht="27" customHeight="1" x14ac:dyDescent="0.25">
      <c r="B2" s="532"/>
      <c r="C2" s="532"/>
      <c r="D2" s="532"/>
      <c r="E2" s="532"/>
      <c r="F2" s="532"/>
      <c r="G2" s="532"/>
      <c r="H2" s="532"/>
      <c r="I2" s="532"/>
      <c r="J2" s="532"/>
      <c r="K2" s="532"/>
    </row>
    <row r="3" spans="2:11" ht="18" customHeight="1" x14ac:dyDescent="0.25">
      <c r="B3" s="1"/>
      <c r="C3" s="1"/>
      <c r="D3" s="1"/>
      <c r="E3" s="1"/>
      <c r="F3" s="1"/>
      <c r="G3" s="1"/>
      <c r="H3" s="1"/>
      <c r="I3" s="1"/>
      <c r="J3" s="1"/>
      <c r="K3" s="1"/>
    </row>
    <row r="4" spans="2:11" x14ac:dyDescent="0.25">
      <c r="B4" s="535" t="s">
        <v>0</v>
      </c>
      <c r="C4" s="535"/>
      <c r="D4" s="535"/>
      <c r="E4" s="535"/>
      <c r="F4" s="535"/>
      <c r="G4" s="535"/>
      <c r="H4" s="535"/>
      <c r="I4" s="535"/>
      <c r="J4" s="535"/>
      <c r="K4" s="535"/>
    </row>
    <row r="5" spans="2:11" x14ac:dyDescent="0.25">
      <c r="B5" s="536"/>
      <c r="C5" s="536"/>
      <c r="D5" s="536"/>
      <c r="E5" s="1"/>
      <c r="F5" s="1"/>
      <c r="G5" s="1"/>
      <c r="H5" s="1"/>
      <c r="I5" s="1"/>
      <c r="J5" s="1"/>
      <c r="K5" s="8"/>
    </row>
    <row r="6" spans="2:11" x14ac:dyDescent="0.25">
      <c r="B6" s="1"/>
      <c r="C6" s="2"/>
      <c r="D6" s="2"/>
      <c r="E6" s="2"/>
      <c r="F6" s="537" t="s">
        <v>263</v>
      </c>
      <c r="G6" s="537"/>
      <c r="H6" s="537"/>
      <c r="I6" s="537"/>
      <c r="J6" s="537"/>
      <c r="K6" s="537"/>
    </row>
    <row r="7" spans="2:11" x14ac:dyDescent="0.25">
      <c r="B7" s="538"/>
      <c r="C7" s="538"/>
      <c r="D7" s="538"/>
      <c r="E7" s="538"/>
      <c r="F7" s="538"/>
      <c r="G7" s="9"/>
      <c r="H7" s="9"/>
      <c r="I7" s="10"/>
      <c r="J7" s="10"/>
      <c r="K7" s="11" t="s">
        <v>264</v>
      </c>
    </row>
    <row r="8" spans="2:11" ht="31.5" customHeight="1" x14ac:dyDescent="0.25">
      <c r="B8" s="539" t="s">
        <v>265</v>
      </c>
      <c r="C8" s="540"/>
      <c r="D8" s="540"/>
      <c r="E8" s="540"/>
      <c r="F8" s="541"/>
      <c r="G8" s="13" t="s">
        <v>556</v>
      </c>
      <c r="H8" s="13" t="s">
        <v>560</v>
      </c>
      <c r="I8" s="14" t="s">
        <v>558</v>
      </c>
      <c r="J8" s="14" t="s">
        <v>559</v>
      </c>
      <c r="K8" s="15" t="s">
        <v>557</v>
      </c>
    </row>
    <row r="9" spans="2:11" x14ac:dyDescent="0.25">
      <c r="B9" s="542">
        <v>1</v>
      </c>
      <c r="C9" s="542"/>
      <c r="D9" s="542"/>
      <c r="E9" s="542"/>
      <c r="F9" s="539"/>
      <c r="G9" s="12"/>
      <c r="H9" s="12"/>
      <c r="I9" s="14">
        <v>3</v>
      </c>
      <c r="J9" s="14">
        <v>4</v>
      </c>
      <c r="K9" s="14">
        <v>5</v>
      </c>
    </row>
    <row r="10" spans="2:11" x14ac:dyDescent="0.25">
      <c r="B10" s="543" t="s">
        <v>266</v>
      </c>
      <c r="C10" s="544"/>
      <c r="D10" s="544"/>
      <c r="E10" s="544"/>
      <c r="F10" s="545"/>
      <c r="G10" s="18" t="e">
        <f t="shared" ref="G10:H10" si="0">G11+G12</f>
        <v>#REF!</v>
      </c>
      <c r="H10" s="18" t="e">
        <f t="shared" si="0"/>
        <v>#REF!</v>
      </c>
      <c r="I10" s="18">
        <f>I11+I12</f>
        <v>27400996.079999998</v>
      </c>
      <c r="J10" s="18">
        <f>J11+J12</f>
        <v>28076192.190000001</v>
      </c>
      <c r="K10" s="18">
        <f>K11+K12</f>
        <v>28547127.919999998</v>
      </c>
    </row>
    <row r="11" spans="2:11" x14ac:dyDescent="0.25">
      <c r="B11" s="546" t="s">
        <v>267</v>
      </c>
      <c r="C11" s="534"/>
      <c r="D11" s="534"/>
      <c r="E11" s="534"/>
      <c r="F11" s="547"/>
      <c r="G11" s="19" t="e">
        <f>'Prihodi po ekonomskoj klas'!E10</f>
        <v>#REF!</v>
      </c>
      <c r="H11" s="19" t="e">
        <f>'Prihodi po ekonomskoj klas'!F10</f>
        <v>#REF!</v>
      </c>
      <c r="I11" s="19">
        <f>'Prihodi po ekonomskoj klas'!G10</f>
        <v>27399696.079999998</v>
      </c>
      <c r="J11" s="19">
        <f>'Prihodi po ekonomskoj klas'!H10</f>
        <v>28076192.190000001</v>
      </c>
      <c r="K11" s="19">
        <f>'Prihodi po ekonomskoj klas'!I10</f>
        <v>28547127.919999998</v>
      </c>
    </row>
    <row r="12" spans="2:11" x14ac:dyDescent="0.25">
      <c r="B12" s="548" t="s">
        <v>268</v>
      </c>
      <c r="C12" s="547"/>
      <c r="D12" s="547"/>
      <c r="E12" s="547"/>
      <c r="F12" s="547"/>
      <c r="G12" s="19">
        <f>'Prihodi po ekonomskoj klas'!E81</f>
        <v>0</v>
      </c>
      <c r="H12" s="19">
        <f>'Prihodi po ekonomskoj klas'!F81</f>
        <v>0</v>
      </c>
      <c r="I12" s="19">
        <f>'Prihodi po ekonomskoj klas'!G81</f>
        <v>1300</v>
      </c>
      <c r="J12" s="19">
        <f>'Prihodi po ekonomskoj klas'!H81</f>
        <v>0</v>
      </c>
      <c r="K12" s="19">
        <f>'Prihodi po ekonomskoj klas'!I81</f>
        <v>0</v>
      </c>
    </row>
    <row r="13" spans="2:11" x14ac:dyDescent="0.25">
      <c r="B13" s="20" t="s">
        <v>269</v>
      </c>
      <c r="C13" s="17"/>
      <c r="D13" s="17"/>
      <c r="E13" s="17"/>
      <c r="F13" s="17"/>
      <c r="G13" s="18" t="e">
        <f t="shared" ref="G13:H13" si="1">G14+G15</f>
        <v>#REF!</v>
      </c>
      <c r="H13" s="18" t="e">
        <f t="shared" si="1"/>
        <v>#REF!</v>
      </c>
      <c r="I13" s="18">
        <f>I14+I15</f>
        <v>27155403.23</v>
      </c>
      <c r="J13" s="18">
        <f>J14+J15</f>
        <v>27423628.59</v>
      </c>
      <c r="K13" s="18">
        <f>K14+K15</f>
        <v>27667151.609999999</v>
      </c>
    </row>
    <row r="14" spans="2:11" x14ac:dyDescent="0.25">
      <c r="B14" s="533" t="s">
        <v>270</v>
      </c>
      <c r="C14" s="534"/>
      <c r="D14" s="534"/>
      <c r="E14" s="534"/>
      <c r="F14" s="534"/>
      <c r="G14" s="19" t="e">
        <f>'RASHODI-ek.kl.'!D57</f>
        <v>#REF!</v>
      </c>
      <c r="H14" s="19" t="e">
        <f>'RASHODI-ek.kl.'!E57</f>
        <v>#REF!</v>
      </c>
      <c r="I14" s="19">
        <f>'RASHODI-ek.kl.'!F57</f>
        <v>26300527.960000001</v>
      </c>
      <c r="J14" s="19">
        <f>'RASHODI-ek.kl.'!G57</f>
        <v>26565803.32</v>
      </c>
      <c r="K14" s="19">
        <f>'RASHODI-ek.kl.'!H57</f>
        <v>26806376.34</v>
      </c>
    </row>
    <row r="15" spans="2:11" x14ac:dyDescent="0.25">
      <c r="B15" s="548" t="s">
        <v>271</v>
      </c>
      <c r="C15" s="547"/>
      <c r="D15" s="547"/>
      <c r="E15" s="547"/>
      <c r="F15" s="547"/>
      <c r="G15" s="19" t="e">
        <f>'RASHODI-ek.kl.'!D234</f>
        <v>#REF!</v>
      </c>
      <c r="H15" s="19" t="e">
        <f>'RASHODI-ek.kl.'!E234</f>
        <v>#REF!</v>
      </c>
      <c r="I15" s="19">
        <f>'RASHODI-ek.kl.'!F234</f>
        <v>854875.27</v>
      </c>
      <c r="J15" s="19">
        <f>'RASHODI-ek.kl.'!G234</f>
        <v>857825.27</v>
      </c>
      <c r="K15" s="19">
        <f>'RASHODI-ek.kl.'!H234</f>
        <v>860775.27</v>
      </c>
    </row>
    <row r="16" spans="2:11" x14ac:dyDescent="0.25">
      <c r="B16" s="549" t="s">
        <v>272</v>
      </c>
      <c r="C16" s="544"/>
      <c r="D16" s="544"/>
      <c r="E16" s="544"/>
      <c r="F16" s="544"/>
      <c r="G16" s="18" t="e">
        <f t="shared" ref="G16" si="2">G10-G13</f>
        <v>#REF!</v>
      </c>
      <c r="H16" s="18" t="e">
        <f t="shared" ref="H16" si="3">H10-H13</f>
        <v>#REF!</v>
      </c>
      <c r="I16" s="18">
        <f>I10-I13</f>
        <v>245592.84999999776</v>
      </c>
      <c r="J16" s="18">
        <f>J10-J13</f>
        <v>652563.60000000149</v>
      </c>
      <c r="K16" s="18">
        <f>K10-K13</f>
        <v>879976.30999999866</v>
      </c>
    </row>
    <row r="17" spans="2:14" x14ac:dyDescent="0.25">
      <c r="B17" s="1"/>
      <c r="C17" s="22"/>
      <c r="D17" s="22"/>
      <c r="E17" s="22"/>
      <c r="F17" s="22"/>
      <c r="G17" s="22"/>
      <c r="H17" s="22"/>
      <c r="I17" s="22"/>
      <c r="J17" s="23"/>
      <c r="K17" s="23"/>
    </row>
    <row r="18" spans="2:14" x14ac:dyDescent="0.25">
      <c r="B18" s="1"/>
      <c r="C18" s="22"/>
      <c r="D18" s="22"/>
      <c r="E18" s="22"/>
      <c r="F18" s="537" t="s">
        <v>273</v>
      </c>
      <c r="G18" s="537"/>
      <c r="H18" s="537"/>
      <c r="I18" s="537"/>
      <c r="J18" s="537"/>
      <c r="K18" s="537"/>
    </row>
    <row r="19" spans="2:14" x14ac:dyDescent="0.25">
      <c r="I19" s="22"/>
      <c r="J19" s="23"/>
      <c r="K19" s="23"/>
    </row>
    <row r="20" spans="2:14" ht="31.5" customHeight="1" x14ac:dyDescent="0.25">
      <c r="B20" s="539" t="s">
        <v>265</v>
      </c>
      <c r="C20" s="540"/>
      <c r="D20" s="540"/>
      <c r="E20" s="540"/>
      <c r="F20" s="540"/>
      <c r="G20" s="16" t="s">
        <v>556</v>
      </c>
      <c r="H20" s="16" t="s">
        <v>560</v>
      </c>
      <c r="I20" s="14" t="s">
        <v>558</v>
      </c>
      <c r="J20" s="14" t="s">
        <v>559</v>
      </c>
      <c r="K20" s="15" t="s">
        <v>557</v>
      </c>
    </row>
    <row r="21" spans="2:14" x14ac:dyDescent="0.25">
      <c r="B21" s="542">
        <v>1</v>
      </c>
      <c r="C21" s="542"/>
      <c r="D21" s="542"/>
      <c r="E21" s="542"/>
      <c r="F21" s="539"/>
      <c r="G21" s="16"/>
      <c r="H21" s="16"/>
      <c r="I21" s="14">
        <v>3</v>
      </c>
      <c r="J21" s="14">
        <v>4</v>
      </c>
      <c r="K21" s="14">
        <v>5</v>
      </c>
    </row>
    <row r="22" spans="2:14" ht="15.75" customHeight="1" x14ac:dyDescent="0.25">
      <c r="B22" s="546" t="s">
        <v>274</v>
      </c>
      <c r="C22" s="550"/>
      <c r="D22" s="550"/>
      <c r="E22" s="550"/>
      <c r="F22" s="550"/>
      <c r="G22" s="24"/>
      <c r="H22" s="24"/>
      <c r="I22" s="25"/>
      <c r="J22" s="25"/>
      <c r="K22" s="25"/>
    </row>
    <row r="23" spans="2:14" x14ac:dyDescent="0.25">
      <c r="B23" s="546" t="s">
        <v>275</v>
      </c>
      <c r="C23" s="534"/>
      <c r="D23" s="534"/>
      <c r="E23" s="534"/>
      <c r="F23" s="534"/>
      <c r="G23" s="21"/>
      <c r="H23" s="21"/>
      <c r="I23" s="25"/>
      <c r="J23" s="25"/>
      <c r="K23" s="25"/>
    </row>
    <row r="24" spans="2:14" x14ac:dyDescent="0.25">
      <c r="B24" s="543" t="s">
        <v>276</v>
      </c>
      <c r="C24" s="551"/>
      <c r="D24" s="551"/>
      <c r="E24" s="551"/>
      <c r="F24" s="551"/>
      <c r="G24" s="26"/>
      <c r="H24" s="26"/>
      <c r="I24" s="27"/>
      <c r="J24" s="27"/>
      <c r="K24" s="27"/>
    </row>
    <row r="25" spans="2:14" ht="15" customHeight="1" x14ac:dyDescent="0.25">
      <c r="B25" s="552" t="s">
        <v>277</v>
      </c>
      <c r="C25" s="552"/>
      <c r="D25" s="552"/>
      <c r="E25" s="552"/>
      <c r="F25" s="553"/>
      <c r="G25" s="496" t="e">
        <f>G16+G24</f>
        <v>#REF!</v>
      </c>
      <c r="H25" s="496" t="e">
        <f t="shared" ref="H25:I25" si="4">H16+H24</f>
        <v>#REF!</v>
      </c>
      <c r="I25" s="496">
        <f t="shared" si="4"/>
        <v>245592.84999999776</v>
      </c>
      <c r="J25" s="18">
        <f>J16+J24</f>
        <v>652563.60000000149</v>
      </c>
      <c r="K25" s="18">
        <f>K16+K24</f>
        <v>879976.30999999866</v>
      </c>
    </row>
    <row r="26" spans="2:14" ht="15" customHeight="1" x14ac:dyDescent="0.25">
      <c r="B26" s="7"/>
      <c r="C26" s="7"/>
      <c r="D26" s="7"/>
      <c r="E26" s="7"/>
      <c r="F26" s="7"/>
      <c r="G26" s="7"/>
      <c r="H26" s="7"/>
      <c r="I26" s="5"/>
      <c r="J26" s="5"/>
      <c r="K26" s="5"/>
    </row>
    <row r="27" spans="2:14" x14ac:dyDescent="0.25">
      <c r="B27" s="1"/>
      <c r="C27" s="2"/>
      <c r="D27" s="2"/>
      <c r="E27" s="2"/>
      <c r="F27" s="537" t="s">
        <v>278</v>
      </c>
      <c r="G27" s="537"/>
      <c r="H27" s="537"/>
      <c r="I27" s="537"/>
      <c r="J27" s="537"/>
      <c r="K27" s="537"/>
      <c r="L27" s="1"/>
      <c r="M27" s="2"/>
      <c r="N27" s="2"/>
    </row>
    <row r="28" spans="2:14" x14ac:dyDescent="0.25">
      <c r="B28" s="1"/>
      <c r="C28" s="2"/>
      <c r="D28" s="2"/>
      <c r="E28" s="2"/>
      <c r="F28" s="537"/>
      <c r="G28" s="537"/>
      <c r="H28" s="537"/>
      <c r="I28" s="537"/>
      <c r="J28" s="537"/>
      <c r="K28" s="537"/>
    </row>
    <row r="29" spans="2:14" ht="31.5" customHeight="1" x14ac:dyDescent="0.25">
      <c r="B29" s="539" t="s">
        <v>265</v>
      </c>
      <c r="C29" s="540"/>
      <c r="D29" s="540"/>
      <c r="E29" s="540"/>
      <c r="F29" s="541"/>
      <c r="G29" s="13" t="s">
        <v>556</v>
      </c>
      <c r="H29" s="13" t="s">
        <v>560</v>
      </c>
      <c r="I29" s="14" t="s">
        <v>558</v>
      </c>
      <c r="J29" s="14" t="s">
        <v>559</v>
      </c>
      <c r="K29" s="15" t="s">
        <v>557</v>
      </c>
    </row>
    <row r="30" spans="2:14" ht="15" customHeight="1" x14ac:dyDescent="0.25">
      <c r="B30" s="553" t="s">
        <v>279</v>
      </c>
      <c r="C30" s="554"/>
      <c r="D30" s="554"/>
      <c r="E30" s="554"/>
      <c r="F30" s="555"/>
      <c r="G30" s="497">
        <v>0</v>
      </c>
      <c r="H30" s="497" t="e">
        <f>G30+G31</f>
        <v>#REF!</v>
      </c>
      <c r="I30" s="18">
        <f>H31</f>
        <v>-1778132.76</v>
      </c>
      <c r="J30" s="18">
        <f>I32</f>
        <v>-1532539.9100000022</v>
      </c>
      <c r="K30" s="18">
        <f>J32</f>
        <v>-879976.31000000075</v>
      </c>
    </row>
    <row r="31" spans="2:14" ht="15" customHeight="1" x14ac:dyDescent="0.25">
      <c r="B31" s="553" t="s">
        <v>280</v>
      </c>
      <c r="C31" s="554"/>
      <c r="D31" s="554"/>
      <c r="E31" s="554"/>
      <c r="F31" s="555"/>
      <c r="G31" s="497" t="e">
        <f>G16</f>
        <v>#REF!</v>
      </c>
      <c r="H31" s="497">
        <v>-1778132.76</v>
      </c>
      <c r="I31" s="497"/>
      <c r="J31" s="497"/>
      <c r="K31" s="497"/>
    </row>
    <row r="32" spans="2:14" ht="45" customHeight="1" x14ac:dyDescent="0.25">
      <c r="B32" s="549" t="s">
        <v>281</v>
      </c>
      <c r="C32" s="559"/>
      <c r="D32" s="559"/>
      <c r="E32" s="559"/>
      <c r="F32" s="560"/>
      <c r="G32" s="498"/>
      <c r="H32" s="498"/>
      <c r="I32" s="497">
        <f>I25+I30</f>
        <v>-1532539.9100000022</v>
      </c>
      <c r="J32" s="497">
        <f t="shared" ref="J32:K32" si="5">J25+J30</f>
        <v>-879976.31000000075</v>
      </c>
      <c r="K32" s="497">
        <f t="shared" si="5"/>
        <v>-2.0954757928848267E-9</v>
      </c>
    </row>
    <row r="33" spans="2:11" x14ac:dyDescent="0.25">
      <c r="B33" s="3"/>
      <c r="C33" s="4"/>
      <c r="D33" s="4"/>
      <c r="E33" s="4"/>
      <c r="F33" s="4"/>
      <c r="G33" s="4"/>
      <c r="H33" s="4"/>
      <c r="I33" s="5"/>
      <c r="J33" s="5"/>
      <c r="K33" s="5"/>
    </row>
    <row r="34" spans="2:11" x14ac:dyDescent="0.25">
      <c r="B34" s="1"/>
      <c r="C34" s="2"/>
      <c r="D34" s="2"/>
      <c r="E34" s="2"/>
      <c r="F34" s="537" t="s">
        <v>282</v>
      </c>
      <c r="G34" s="537"/>
      <c r="H34" s="537"/>
      <c r="I34" s="537"/>
      <c r="J34" s="537"/>
      <c r="K34" s="537"/>
    </row>
    <row r="35" spans="2:11" x14ac:dyDescent="0.25">
      <c r="B35" s="1"/>
      <c r="C35" s="2"/>
      <c r="D35" s="2"/>
      <c r="E35" s="2"/>
      <c r="F35" s="537"/>
      <c r="G35" s="537"/>
      <c r="H35" s="537"/>
      <c r="I35" s="537"/>
      <c r="J35" s="537"/>
      <c r="K35" s="537"/>
    </row>
    <row r="36" spans="2:11" ht="31.5" customHeight="1" x14ac:dyDescent="0.25">
      <c r="B36" s="539" t="s">
        <v>265</v>
      </c>
      <c r="C36" s="540"/>
      <c r="D36" s="540"/>
      <c r="E36" s="540"/>
      <c r="F36" s="541"/>
      <c r="G36" s="13" t="s">
        <v>556</v>
      </c>
      <c r="H36" s="13" t="s">
        <v>560</v>
      </c>
      <c r="I36" s="14" t="s">
        <v>558</v>
      </c>
      <c r="J36" s="14" t="s">
        <v>559</v>
      </c>
      <c r="K36" s="15" t="s">
        <v>557</v>
      </c>
    </row>
    <row r="37" spans="2:11" ht="31.5" customHeight="1" x14ac:dyDescent="0.25">
      <c r="B37" s="553" t="s">
        <v>283</v>
      </c>
      <c r="C37" s="554"/>
      <c r="D37" s="554"/>
      <c r="E37" s="554"/>
      <c r="F37" s="555"/>
      <c r="G37" s="497">
        <f>G30</f>
        <v>0</v>
      </c>
      <c r="H37" s="497" t="e">
        <f>G40</f>
        <v>#REF!</v>
      </c>
      <c r="I37" s="497">
        <f t="shared" ref="I37:K37" si="6">H40</f>
        <v>-1778132.76</v>
      </c>
      <c r="J37" s="497">
        <f t="shared" si="6"/>
        <v>-1532539.9100000022</v>
      </c>
      <c r="K37" s="497">
        <f t="shared" si="6"/>
        <v>-879976.31000000075</v>
      </c>
    </row>
    <row r="38" spans="2:11" ht="31.5" customHeight="1" x14ac:dyDescent="0.25">
      <c r="B38" s="553" t="s">
        <v>284</v>
      </c>
      <c r="C38" s="554"/>
      <c r="D38" s="554"/>
      <c r="E38" s="554"/>
      <c r="F38" s="555"/>
      <c r="G38" s="500" t="e">
        <f>G16</f>
        <v>#REF!</v>
      </c>
      <c r="H38" s="500" t="e">
        <f>H16</f>
        <v>#REF!</v>
      </c>
      <c r="I38" s="18">
        <f>I25</f>
        <v>245592.84999999776</v>
      </c>
      <c r="J38" s="18">
        <f>J25</f>
        <v>652563.60000000149</v>
      </c>
      <c r="K38" s="18">
        <f>K25</f>
        <v>879976.30999999866</v>
      </c>
    </row>
    <row r="39" spans="2:11" hidden="1" x14ac:dyDescent="0.25">
      <c r="B39" s="556" t="s">
        <v>671</v>
      </c>
      <c r="C39" s="557"/>
      <c r="D39" s="557"/>
      <c r="E39" s="557"/>
      <c r="F39" s="558"/>
      <c r="G39" s="499"/>
      <c r="H39" s="499"/>
      <c r="I39" s="18">
        <v>0</v>
      </c>
      <c r="J39" s="18">
        <v>0</v>
      </c>
      <c r="K39" s="18"/>
    </row>
    <row r="40" spans="2:11" x14ac:dyDescent="0.25">
      <c r="B40" s="549" t="s">
        <v>280</v>
      </c>
      <c r="C40" s="559"/>
      <c r="D40" s="559"/>
      <c r="E40" s="559"/>
      <c r="F40" s="560"/>
      <c r="G40" s="498" t="e">
        <f>G37+G38</f>
        <v>#REF!</v>
      </c>
      <c r="H40" s="498">
        <f>H31</f>
        <v>-1778132.76</v>
      </c>
      <c r="I40" s="498">
        <f t="shared" ref="I40:K40" si="7">I37+I38</f>
        <v>-1532539.9100000022</v>
      </c>
      <c r="J40" s="498">
        <f t="shared" si="7"/>
        <v>-879976.31000000075</v>
      </c>
      <c r="K40" s="498">
        <f t="shared" si="7"/>
        <v>-2.0954757928848267E-9</v>
      </c>
    </row>
  </sheetData>
  <mergeCells count="33">
    <mergeCell ref="B37:F37"/>
    <mergeCell ref="B38:F38"/>
    <mergeCell ref="B39:F39"/>
    <mergeCell ref="B40:F40"/>
    <mergeCell ref="B30:F30"/>
    <mergeCell ref="B31:F31"/>
    <mergeCell ref="B32:F32"/>
    <mergeCell ref="F34:K34"/>
    <mergeCell ref="F35:K35"/>
    <mergeCell ref="B36:F36"/>
    <mergeCell ref="B29:F29"/>
    <mergeCell ref="B15:F15"/>
    <mergeCell ref="B16:F16"/>
    <mergeCell ref="F18:K18"/>
    <mergeCell ref="B20:F20"/>
    <mergeCell ref="B21:F21"/>
    <mergeCell ref="B22:F22"/>
    <mergeCell ref="B23:F23"/>
    <mergeCell ref="B24:F24"/>
    <mergeCell ref="B25:F25"/>
    <mergeCell ref="F27:K27"/>
    <mergeCell ref="F28:K28"/>
    <mergeCell ref="B1:K2"/>
    <mergeCell ref="B14:F14"/>
    <mergeCell ref="B4:K4"/>
    <mergeCell ref="B5:D5"/>
    <mergeCell ref="F6:K6"/>
    <mergeCell ref="B7:F7"/>
    <mergeCell ref="B8:F8"/>
    <mergeCell ref="B9:F9"/>
    <mergeCell ref="B10:F10"/>
    <mergeCell ref="B11:F11"/>
    <mergeCell ref="B12:F12"/>
  </mergeCells>
  <pageMargins left="0.7" right="0.7" top="0.75" bottom="0.75" header="0.3" footer="0.3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M88"/>
  <sheetViews>
    <sheetView topLeftCell="B1" zoomScaleNormal="100" workbookViewId="0">
      <selection activeCell="G71" sqref="G71"/>
    </sheetView>
  </sheetViews>
  <sheetFormatPr defaultRowHeight="15.75" x14ac:dyDescent="0.25"/>
  <cols>
    <col min="1" max="1" width="0" style="6" hidden="1" customWidth="1"/>
    <col min="2" max="2" width="7" style="6" bestFit="1" customWidth="1"/>
    <col min="3" max="3" width="9.140625" style="6"/>
    <col min="4" max="4" width="55.85546875" style="6" customWidth="1"/>
    <col min="5" max="6" width="21.28515625" style="6" hidden="1" customWidth="1"/>
    <col min="7" max="7" width="17.85546875" style="6" bestFit="1" customWidth="1"/>
    <col min="8" max="9" width="18.85546875" style="6" bestFit="1" customWidth="1"/>
    <col min="10" max="10" width="9.140625" style="6"/>
    <col min="11" max="25" width="0" style="6" hidden="1" customWidth="1"/>
    <col min="26" max="259" width="9.140625" style="6"/>
    <col min="260" max="260" width="7" style="6" bestFit="1" customWidth="1"/>
    <col min="261" max="261" width="9.140625" style="6"/>
    <col min="262" max="262" width="41.28515625" style="6" bestFit="1" customWidth="1"/>
    <col min="263" max="265" width="20.28515625" style="6" bestFit="1" customWidth="1"/>
    <col min="266" max="515" width="9.140625" style="6"/>
    <col min="516" max="516" width="7" style="6" bestFit="1" customWidth="1"/>
    <col min="517" max="517" width="9.140625" style="6"/>
    <col min="518" max="518" width="41.28515625" style="6" bestFit="1" customWidth="1"/>
    <col min="519" max="521" width="20.28515625" style="6" bestFit="1" customWidth="1"/>
    <col min="522" max="771" width="9.140625" style="6"/>
    <col min="772" max="772" width="7" style="6" bestFit="1" customWidth="1"/>
    <col min="773" max="773" width="9.140625" style="6"/>
    <col min="774" max="774" width="41.28515625" style="6" bestFit="1" customWidth="1"/>
    <col min="775" max="777" width="20.28515625" style="6" bestFit="1" customWidth="1"/>
    <col min="778" max="1027" width="9.140625" style="6"/>
    <col min="1028" max="1028" width="7" style="6" bestFit="1" customWidth="1"/>
    <col min="1029" max="1029" width="9.140625" style="6"/>
    <col min="1030" max="1030" width="41.28515625" style="6" bestFit="1" customWidth="1"/>
    <col min="1031" max="1033" width="20.28515625" style="6" bestFit="1" customWidth="1"/>
    <col min="1034" max="1283" width="9.140625" style="6"/>
    <col min="1284" max="1284" width="7" style="6" bestFit="1" customWidth="1"/>
    <col min="1285" max="1285" width="9.140625" style="6"/>
    <col min="1286" max="1286" width="41.28515625" style="6" bestFit="1" customWidth="1"/>
    <col min="1287" max="1289" width="20.28515625" style="6" bestFit="1" customWidth="1"/>
    <col min="1290" max="1539" width="9.140625" style="6"/>
    <col min="1540" max="1540" width="7" style="6" bestFit="1" customWidth="1"/>
    <col min="1541" max="1541" width="9.140625" style="6"/>
    <col min="1542" max="1542" width="41.28515625" style="6" bestFit="1" customWidth="1"/>
    <col min="1543" max="1545" width="20.28515625" style="6" bestFit="1" customWidth="1"/>
    <col min="1546" max="1795" width="9.140625" style="6"/>
    <col min="1796" max="1796" width="7" style="6" bestFit="1" customWidth="1"/>
    <col min="1797" max="1797" width="9.140625" style="6"/>
    <col min="1798" max="1798" width="41.28515625" style="6" bestFit="1" customWidth="1"/>
    <col min="1799" max="1801" width="20.28515625" style="6" bestFit="1" customWidth="1"/>
    <col min="1802" max="2051" width="9.140625" style="6"/>
    <col min="2052" max="2052" width="7" style="6" bestFit="1" customWidth="1"/>
    <col min="2053" max="2053" width="9.140625" style="6"/>
    <col min="2054" max="2054" width="41.28515625" style="6" bestFit="1" customWidth="1"/>
    <col min="2055" max="2057" width="20.28515625" style="6" bestFit="1" customWidth="1"/>
    <col min="2058" max="2307" width="9.140625" style="6"/>
    <col min="2308" max="2308" width="7" style="6" bestFit="1" customWidth="1"/>
    <col min="2309" max="2309" width="9.140625" style="6"/>
    <col min="2310" max="2310" width="41.28515625" style="6" bestFit="1" customWidth="1"/>
    <col min="2311" max="2313" width="20.28515625" style="6" bestFit="1" customWidth="1"/>
    <col min="2314" max="2563" width="9.140625" style="6"/>
    <col min="2564" max="2564" width="7" style="6" bestFit="1" customWidth="1"/>
    <col min="2565" max="2565" width="9.140625" style="6"/>
    <col min="2566" max="2566" width="41.28515625" style="6" bestFit="1" customWidth="1"/>
    <col min="2567" max="2569" width="20.28515625" style="6" bestFit="1" customWidth="1"/>
    <col min="2570" max="2819" width="9.140625" style="6"/>
    <col min="2820" max="2820" width="7" style="6" bestFit="1" customWidth="1"/>
    <col min="2821" max="2821" width="9.140625" style="6"/>
    <col min="2822" max="2822" width="41.28515625" style="6" bestFit="1" customWidth="1"/>
    <col min="2823" max="2825" width="20.28515625" style="6" bestFit="1" customWidth="1"/>
    <col min="2826" max="3075" width="9.140625" style="6"/>
    <col min="3076" max="3076" width="7" style="6" bestFit="1" customWidth="1"/>
    <col min="3077" max="3077" width="9.140625" style="6"/>
    <col min="3078" max="3078" width="41.28515625" style="6" bestFit="1" customWidth="1"/>
    <col min="3079" max="3081" width="20.28515625" style="6" bestFit="1" customWidth="1"/>
    <col min="3082" max="3331" width="9.140625" style="6"/>
    <col min="3332" max="3332" width="7" style="6" bestFit="1" customWidth="1"/>
    <col min="3333" max="3333" width="9.140625" style="6"/>
    <col min="3334" max="3334" width="41.28515625" style="6" bestFit="1" customWidth="1"/>
    <col min="3335" max="3337" width="20.28515625" style="6" bestFit="1" customWidth="1"/>
    <col min="3338" max="3587" width="9.140625" style="6"/>
    <col min="3588" max="3588" width="7" style="6" bestFit="1" customWidth="1"/>
    <col min="3589" max="3589" width="9.140625" style="6"/>
    <col min="3590" max="3590" width="41.28515625" style="6" bestFit="1" customWidth="1"/>
    <col min="3591" max="3593" width="20.28515625" style="6" bestFit="1" customWidth="1"/>
    <col min="3594" max="3843" width="9.140625" style="6"/>
    <col min="3844" max="3844" width="7" style="6" bestFit="1" customWidth="1"/>
    <col min="3845" max="3845" width="9.140625" style="6"/>
    <col min="3846" max="3846" width="41.28515625" style="6" bestFit="1" customWidth="1"/>
    <col min="3847" max="3849" width="20.28515625" style="6" bestFit="1" customWidth="1"/>
    <col min="3850" max="4099" width="9.140625" style="6"/>
    <col min="4100" max="4100" width="7" style="6" bestFit="1" customWidth="1"/>
    <col min="4101" max="4101" width="9.140625" style="6"/>
    <col min="4102" max="4102" width="41.28515625" style="6" bestFit="1" customWidth="1"/>
    <col min="4103" max="4105" width="20.28515625" style="6" bestFit="1" customWidth="1"/>
    <col min="4106" max="4355" width="9.140625" style="6"/>
    <col min="4356" max="4356" width="7" style="6" bestFit="1" customWidth="1"/>
    <col min="4357" max="4357" width="9.140625" style="6"/>
    <col min="4358" max="4358" width="41.28515625" style="6" bestFit="1" customWidth="1"/>
    <col min="4359" max="4361" width="20.28515625" style="6" bestFit="1" customWidth="1"/>
    <col min="4362" max="4611" width="9.140625" style="6"/>
    <col min="4612" max="4612" width="7" style="6" bestFit="1" customWidth="1"/>
    <col min="4613" max="4613" width="9.140625" style="6"/>
    <col min="4614" max="4614" width="41.28515625" style="6" bestFit="1" customWidth="1"/>
    <col min="4615" max="4617" width="20.28515625" style="6" bestFit="1" customWidth="1"/>
    <col min="4618" max="4867" width="9.140625" style="6"/>
    <col min="4868" max="4868" width="7" style="6" bestFit="1" customWidth="1"/>
    <col min="4869" max="4869" width="9.140625" style="6"/>
    <col min="4870" max="4870" width="41.28515625" style="6" bestFit="1" customWidth="1"/>
    <col min="4871" max="4873" width="20.28515625" style="6" bestFit="1" customWidth="1"/>
    <col min="4874" max="5123" width="9.140625" style="6"/>
    <col min="5124" max="5124" width="7" style="6" bestFit="1" customWidth="1"/>
    <col min="5125" max="5125" width="9.140625" style="6"/>
    <col min="5126" max="5126" width="41.28515625" style="6" bestFit="1" customWidth="1"/>
    <col min="5127" max="5129" width="20.28515625" style="6" bestFit="1" customWidth="1"/>
    <col min="5130" max="5379" width="9.140625" style="6"/>
    <col min="5380" max="5380" width="7" style="6" bestFit="1" customWidth="1"/>
    <col min="5381" max="5381" width="9.140625" style="6"/>
    <col min="5382" max="5382" width="41.28515625" style="6" bestFit="1" customWidth="1"/>
    <col min="5383" max="5385" width="20.28515625" style="6" bestFit="1" customWidth="1"/>
    <col min="5386" max="5635" width="9.140625" style="6"/>
    <col min="5636" max="5636" width="7" style="6" bestFit="1" customWidth="1"/>
    <col min="5637" max="5637" width="9.140625" style="6"/>
    <col min="5638" max="5638" width="41.28515625" style="6" bestFit="1" customWidth="1"/>
    <col min="5639" max="5641" width="20.28515625" style="6" bestFit="1" customWidth="1"/>
    <col min="5642" max="5891" width="9.140625" style="6"/>
    <col min="5892" max="5892" width="7" style="6" bestFit="1" customWidth="1"/>
    <col min="5893" max="5893" width="9.140625" style="6"/>
    <col min="5894" max="5894" width="41.28515625" style="6" bestFit="1" customWidth="1"/>
    <col min="5895" max="5897" width="20.28515625" style="6" bestFit="1" customWidth="1"/>
    <col min="5898" max="6147" width="9.140625" style="6"/>
    <col min="6148" max="6148" width="7" style="6" bestFit="1" customWidth="1"/>
    <col min="6149" max="6149" width="9.140625" style="6"/>
    <col min="6150" max="6150" width="41.28515625" style="6" bestFit="1" customWidth="1"/>
    <col min="6151" max="6153" width="20.28515625" style="6" bestFit="1" customWidth="1"/>
    <col min="6154" max="6403" width="9.140625" style="6"/>
    <col min="6404" max="6404" width="7" style="6" bestFit="1" customWidth="1"/>
    <col min="6405" max="6405" width="9.140625" style="6"/>
    <col min="6406" max="6406" width="41.28515625" style="6" bestFit="1" customWidth="1"/>
    <col min="6407" max="6409" width="20.28515625" style="6" bestFit="1" customWidth="1"/>
    <col min="6410" max="6659" width="9.140625" style="6"/>
    <col min="6660" max="6660" width="7" style="6" bestFit="1" customWidth="1"/>
    <col min="6661" max="6661" width="9.140625" style="6"/>
    <col min="6662" max="6662" width="41.28515625" style="6" bestFit="1" customWidth="1"/>
    <col min="6663" max="6665" width="20.28515625" style="6" bestFit="1" customWidth="1"/>
    <col min="6666" max="6915" width="9.140625" style="6"/>
    <col min="6916" max="6916" width="7" style="6" bestFit="1" customWidth="1"/>
    <col min="6917" max="6917" width="9.140625" style="6"/>
    <col min="6918" max="6918" width="41.28515625" style="6" bestFit="1" customWidth="1"/>
    <col min="6919" max="6921" width="20.28515625" style="6" bestFit="1" customWidth="1"/>
    <col min="6922" max="7171" width="9.140625" style="6"/>
    <col min="7172" max="7172" width="7" style="6" bestFit="1" customWidth="1"/>
    <col min="7173" max="7173" width="9.140625" style="6"/>
    <col min="7174" max="7174" width="41.28515625" style="6" bestFit="1" customWidth="1"/>
    <col min="7175" max="7177" width="20.28515625" style="6" bestFit="1" customWidth="1"/>
    <col min="7178" max="7427" width="9.140625" style="6"/>
    <col min="7428" max="7428" width="7" style="6" bestFit="1" customWidth="1"/>
    <col min="7429" max="7429" width="9.140625" style="6"/>
    <col min="7430" max="7430" width="41.28515625" style="6" bestFit="1" customWidth="1"/>
    <col min="7431" max="7433" width="20.28515625" style="6" bestFit="1" customWidth="1"/>
    <col min="7434" max="7683" width="9.140625" style="6"/>
    <col min="7684" max="7684" width="7" style="6" bestFit="1" customWidth="1"/>
    <col min="7685" max="7685" width="9.140625" style="6"/>
    <col min="7686" max="7686" width="41.28515625" style="6" bestFit="1" customWidth="1"/>
    <col min="7687" max="7689" width="20.28515625" style="6" bestFit="1" customWidth="1"/>
    <col min="7690" max="7939" width="9.140625" style="6"/>
    <col min="7940" max="7940" width="7" style="6" bestFit="1" customWidth="1"/>
    <col min="7941" max="7941" width="9.140625" style="6"/>
    <col min="7942" max="7942" width="41.28515625" style="6" bestFit="1" customWidth="1"/>
    <col min="7943" max="7945" width="20.28515625" style="6" bestFit="1" customWidth="1"/>
    <col min="7946" max="8195" width="9.140625" style="6"/>
    <col min="8196" max="8196" width="7" style="6" bestFit="1" customWidth="1"/>
    <col min="8197" max="8197" width="9.140625" style="6"/>
    <col min="8198" max="8198" width="41.28515625" style="6" bestFit="1" customWidth="1"/>
    <col min="8199" max="8201" width="20.28515625" style="6" bestFit="1" customWidth="1"/>
    <col min="8202" max="8451" width="9.140625" style="6"/>
    <col min="8452" max="8452" width="7" style="6" bestFit="1" customWidth="1"/>
    <col min="8453" max="8453" width="9.140625" style="6"/>
    <col min="8454" max="8454" width="41.28515625" style="6" bestFit="1" customWidth="1"/>
    <col min="8455" max="8457" width="20.28515625" style="6" bestFit="1" customWidth="1"/>
    <col min="8458" max="8707" width="9.140625" style="6"/>
    <col min="8708" max="8708" width="7" style="6" bestFit="1" customWidth="1"/>
    <col min="8709" max="8709" width="9.140625" style="6"/>
    <col min="8710" max="8710" width="41.28515625" style="6" bestFit="1" customWidth="1"/>
    <col min="8711" max="8713" width="20.28515625" style="6" bestFit="1" customWidth="1"/>
    <col min="8714" max="8963" width="9.140625" style="6"/>
    <col min="8964" max="8964" width="7" style="6" bestFit="1" customWidth="1"/>
    <col min="8965" max="8965" width="9.140625" style="6"/>
    <col min="8966" max="8966" width="41.28515625" style="6" bestFit="1" customWidth="1"/>
    <col min="8967" max="8969" width="20.28515625" style="6" bestFit="1" customWidth="1"/>
    <col min="8970" max="9219" width="9.140625" style="6"/>
    <col min="9220" max="9220" width="7" style="6" bestFit="1" customWidth="1"/>
    <col min="9221" max="9221" width="9.140625" style="6"/>
    <col min="9222" max="9222" width="41.28515625" style="6" bestFit="1" customWidth="1"/>
    <col min="9223" max="9225" width="20.28515625" style="6" bestFit="1" customWidth="1"/>
    <col min="9226" max="9475" width="9.140625" style="6"/>
    <col min="9476" max="9476" width="7" style="6" bestFit="1" customWidth="1"/>
    <col min="9477" max="9477" width="9.140625" style="6"/>
    <col min="9478" max="9478" width="41.28515625" style="6" bestFit="1" customWidth="1"/>
    <col min="9479" max="9481" width="20.28515625" style="6" bestFit="1" customWidth="1"/>
    <col min="9482" max="9731" width="9.140625" style="6"/>
    <col min="9732" max="9732" width="7" style="6" bestFit="1" customWidth="1"/>
    <col min="9733" max="9733" width="9.140625" style="6"/>
    <col min="9734" max="9734" width="41.28515625" style="6" bestFit="1" customWidth="1"/>
    <col min="9735" max="9737" width="20.28515625" style="6" bestFit="1" customWidth="1"/>
    <col min="9738" max="9987" width="9.140625" style="6"/>
    <col min="9988" max="9988" width="7" style="6" bestFit="1" customWidth="1"/>
    <col min="9989" max="9989" width="9.140625" style="6"/>
    <col min="9990" max="9990" width="41.28515625" style="6" bestFit="1" customWidth="1"/>
    <col min="9991" max="9993" width="20.28515625" style="6" bestFit="1" customWidth="1"/>
    <col min="9994" max="10243" width="9.140625" style="6"/>
    <col min="10244" max="10244" width="7" style="6" bestFit="1" customWidth="1"/>
    <col min="10245" max="10245" width="9.140625" style="6"/>
    <col min="10246" max="10246" width="41.28515625" style="6" bestFit="1" customWidth="1"/>
    <col min="10247" max="10249" width="20.28515625" style="6" bestFit="1" customWidth="1"/>
    <col min="10250" max="10499" width="9.140625" style="6"/>
    <col min="10500" max="10500" width="7" style="6" bestFit="1" customWidth="1"/>
    <col min="10501" max="10501" width="9.140625" style="6"/>
    <col min="10502" max="10502" width="41.28515625" style="6" bestFit="1" customWidth="1"/>
    <col min="10503" max="10505" width="20.28515625" style="6" bestFit="1" customWidth="1"/>
    <col min="10506" max="10755" width="9.140625" style="6"/>
    <col min="10756" max="10756" width="7" style="6" bestFit="1" customWidth="1"/>
    <col min="10757" max="10757" width="9.140625" style="6"/>
    <col min="10758" max="10758" width="41.28515625" style="6" bestFit="1" customWidth="1"/>
    <col min="10759" max="10761" width="20.28515625" style="6" bestFit="1" customWidth="1"/>
    <col min="10762" max="11011" width="9.140625" style="6"/>
    <col min="11012" max="11012" width="7" style="6" bestFit="1" customWidth="1"/>
    <col min="11013" max="11013" width="9.140625" style="6"/>
    <col min="11014" max="11014" width="41.28515625" style="6" bestFit="1" customWidth="1"/>
    <col min="11015" max="11017" width="20.28515625" style="6" bestFit="1" customWidth="1"/>
    <col min="11018" max="11267" width="9.140625" style="6"/>
    <col min="11268" max="11268" width="7" style="6" bestFit="1" customWidth="1"/>
    <col min="11269" max="11269" width="9.140625" style="6"/>
    <col min="11270" max="11270" width="41.28515625" style="6" bestFit="1" customWidth="1"/>
    <col min="11271" max="11273" width="20.28515625" style="6" bestFit="1" customWidth="1"/>
    <col min="11274" max="11523" width="9.140625" style="6"/>
    <col min="11524" max="11524" width="7" style="6" bestFit="1" customWidth="1"/>
    <col min="11525" max="11525" width="9.140625" style="6"/>
    <col min="11526" max="11526" width="41.28515625" style="6" bestFit="1" customWidth="1"/>
    <col min="11527" max="11529" width="20.28515625" style="6" bestFit="1" customWidth="1"/>
    <col min="11530" max="11779" width="9.140625" style="6"/>
    <col min="11780" max="11780" width="7" style="6" bestFit="1" customWidth="1"/>
    <col min="11781" max="11781" width="9.140625" style="6"/>
    <col min="11782" max="11782" width="41.28515625" style="6" bestFit="1" customWidth="1"/>
    <col min="11783" max="11785" width="20.28515625" style="6" bestFit="1" customWidth="1"/>
    <col min="11786" max="12035" width="9.140625" style="6"/>
    <col min="12036" max="12036" width="7" style="6" bestFit="1" customWidth="1"/>
    <col min="12037" max="12037" width="9.140625" style="6"/>
    <col min="12038" max="12038" width="41.28515625" style="6" bestFit="1" customWidth="1"/>
    <col min="12039" max="12041" width="20.28515625" style="6" bestFit="1" customWidth="1"/>
    <col min="12042" max="12291" width="9.140625" style="6"/>
    <col min="12292" max="12292" width="7" style="6" bestFit="1" customWidth="1"/>
    <col min="12293" max="12293" width="9.140625" style="6"/>
    <col min="12294" max="12294" width="41.28515625" style="6" bestFit="1" customWidth="1"/>
    <col min="12295" max="12297" width="20.28515625" style="6" bestFit="1" customWidth="1"/>
    <col min="12298" max="12547" width="9.140625" style="6"/>
    <col min="12548" max="12548" width="7" style="6" bestFit="1" customWidth="1"/>
    <col min="12549" max="12549" width="9.140625" style="6"/>
    <col min="12550" max="12550" width="41.28515625" style="6" bestFit="1" customWidth="1"/>
    <col min="12551" max="12553" width="20.28515625" style="6" bestFit="1" customWidth="1"/>
    <col min="12554" max="12803" width="9.140625" style="6"/>
    <col min="12804" max="12804" width="7" style="6" bestFit="1" customWidth="1"/>
    <col min="12805" max="12805" width="9.140625" style="6"/>
    <col min="12806" max="12806" width="41.28515625" style="6" bestFit="1" customWidth="1"/>
    <col min="12807" max="12809" width="20.28515625" style="6" bestFit="1" customWidth="1"/>
    <col min="12810" max="13059" width="9.140625" style="6"/>
    <col min="13060" max="13060" width="7" style="6" bestFit="1" customWidth="1"/>
    <col min="13061" max="13061" width="9.140625" style="6"/>
    <col min="13062" max="13062" width="41.28515625" style="6" bestFit="1" customWidth="1"/>
    <col min="13063" max="13065" width="20.28515625" style="6" bestFit="1" customWidth="1"/>
    <col min="13066" max="13315" width="9.140625" style="6"/>
    <col min="13316" max="13316" width="7" style="6" bestFit="1" customWidth="1"/>
    <col min="13317" max="13317" width="9.140625" style="6"/>
    <col min="13318" max="13318" width="41.28515625" style="6" bestFit="1" customWidth="1"/>
    <col min="13319" max="13321" width="20.28515625" style="6" bestFit="1" customWidth="1"/>
    <col min="13322" max="13571" width="9.140625" style="6"/>
    <col min="13572" max="13572" width="7" style="6" bestFit="1" customWidth="1"/>
    <col min="13573" max="13573" width="9.140625" style="6"/>
    <col min="13574" max="13574" width="41.28515625" style="6" bestFit="1" customWidth="1"/>
    <col min="13575" max="13577" width="20.28515625" style="6" bestFit="1" customWidth="1"/>
    <col min="13578" max="13827" width="9.140625" style="6"/>
    <col min="13828" max="13828" width="7" style="6" bestFit="1" customWidth="1"/>
    <col min="13829" max="13829" width="9.140625" style="6"/>
    <col min="13830" max="13830" width="41.28515625" style="6" bestFit="1" customWidth="1"/>
    <col min="13831" max="13833" width="20.28515625" style="6" bestFit="1" customWidth="1"/>
    <col min="13834" max="14083" width="9.140625" style="6"/>
    <col min="14084" max="14084" width="7" style="6" bestFit="1" customWidth="1"/>
    <col min="14085" max="14085" width="9.140625" style="6"/>
    <col min="14086" max="14086" width="41.28515625" style="6" bestFit="1" customWidth="1"/>
    <col min="14087" max="14089" width="20.28515625" style="6" bestFit="1" customWidth="1"/>
    <col min="14090" max="14339" width="9.140625" style="6"/>
    <col min="14340" max="14340" width="7" style="6" bestFit="1" customWidth="1"/>
    <col min="14341" max="14341" width="9.140625" style="6"/>
    <col min="14342" max="14342" width="41.28515625" style="6" bestFit="1" customWidth="1"/>
    <col min="14343" max="14345" width="20.28515625" style="6" bestFit="1" customWidth="1"/>
    <col min="14346" max="14595" width="9.140625" style="6"/>
    <col min="14596" max="14596" width="7" style="6" bestFit="1" customWidth="1"/>
    <col min="14597" max="14597" width="9.140625" style="6"/>
    <col min="14598" max="14598" width="41.28515625" style="6" bestFit="1" customWidth="1"/>
    <col min="14599" max="14601" width="20.28515625" style="6" bestFit="1" customWidth="1"/>
    <col min="14602" max="14851" width="9.140625" style="6"/>
    <col min="14852" max="14852" width="7" style="6" bestFit="1" customWidth="1"/>
    <col min="14853" max="14853" width="9.140625" style="6"/>
    <col min="14854" max="14854" width="41.28515625" style="6" bestFit="1" customWidth="1"/>
    <col min="14855" max="14857" width="20.28515625" style="6" bestFit="1" customWidth="1"/>
    <col min="14858" max="15107" width="9.140625" style="6"/>
    <col min="15108" max="15108" width="7" style="6" bestFit="1" customWidth="1"/>
    <col min="15109" max="15109" width="9.140625" style="6"/>
    <col min="15110" max="15110" width="41.28515625" style="6" bestFit="1" customWidth="1"/>
    <col min="15111" max="15113" width="20.28515625" style="6" bestFit="1" customWidth="1"/>
    <col min="15114" max="15363" width="9.140625" style="6"/>
    <col min="15364" max="15364" width="7" style="6" bestFit="1" customWidth="1"/>
    <col min="15365" max="15365" width="9.140625" style="6"/>
    <col min="15366" max="15366" width="41.28515625" style="6" bestFit="1" customWidth="1"/>
    <col min="15367" max="15369" width="20.28515625" style="6" bestFit="1" customWidth="1"/>
    <col min="15370" max="15619" width="9.140625" style="6"/>
    <col min="15620" max="15620" width="7" style="6" bestFit="1" customWidth="1"/>
    <col min="15621" max="15621" width="9.140625" style="6"/>
    <col min="15622" max="15622" width="41.28515625" style="6" bestFit="1" customWidth="1"/>
    <col min="15623" max="15625" width="20.28515625" style="6" bestFit="1" customWidth="1"/>
    <col min="15626" max="15875" width="9.140625" style="6"/>
    <col min="15876" max="15876" width="7" style="6" bestFit="1" customWidth="1"/>
    <col min="15877" max="15877" width="9.140625" style="6"/>
    <col min="15878" max="15878" width="41.28515625" style="6" bestFit="1" customWidth="1"/>
    <col min="15879" max="15881" width="20.28515625" style="6" bestFit="1" customWidth="1"/>
    <col min="15882" max="16131" width="9.140625" style="6"/>
    <col min="16132" max="16132" width="7" style="6" bestFit="1" customWidth="1"/>
    <col min="16133" max="16133" width="9.140625" style="6"/>
    <col min="16134" max="16134" width="41.28515625" style="6" bestFit="1" customWidth="1"/>
    <col min="16135" max="16137" width="20.28515625" style="6" bestFit="1" customWidth="1"/>
    <col min="16138" max="16384" width="9.140625" style="6"/>
  </cols>
  <sheetData>
    <row r="2" spans="2:13" ht="15.75" customHeight="1" x14ac:dyDescent="0.25">
      <c r="B2" s="564" t="s">
        <v>0</v>
      </c>
      <c r="C2" s="564"/>
      <c r="D2" s="564"/>
      <c r="E2" s="564"/>
      <c r="F2" s="564"/>
      <c r="G2" s="564"/>
      <c r="H2" s="564"/>
      <c r="I2" s="564"/>
    </row>
    <row r="3" spans="2:13" ht="15.75" customHeight="1" x14ac:dyDescent="0.25">
      <c r="B3" s="28"/>
      <c r="C3" s="28"/>
      <c r="D3" s="28"/>
      <c r="E3" s="28"/>
      <c r="F3" s="28"/>
      <c r="G3" s="28"/>
      <c r="H3" s="28"/>
      <c r="I3" s="28"/>
    </row>
    <row r="4" spans="2:13" ht="15.75" customHeight="1" x14ac:dyDescent="0.25">
      <c r="B4" s="564" t="s">
        <v>1</v>
      </c>
      <c r="C4" s="564"/>
      <c r="D4" s="564"/>
      <c r="E4" s="564"/>
      <c r="F4" s="564"/>
      <c r="G4" s="564"/>
      <c r="H4" s="564"/>
      <c r="I4" s="564"/>
    </row>
    <row r="5" spans="2:13" x14ac:dyDescent="0.25">
      <c r="B5" s="32"/>
      <c r="C5" s="32"/>
      <c r="D5" s="32"/>
      <c r="E5" s="32"/>
      <c r="F5" s="32"/>
      <c r="G5" s="32"/>
      <c r="H5" s="32"/>
      <c r="I5" s="32"/>
    </row>
    <row r="6" spans="2:13" x14ac:dyDescent="0.25">
      <c r="B6" s="565" t="s">
        <v>238</v>
      </c>
      <c r="C6" s="565"/>
      <c r="D6" s="565"/>
      <c r="E6" s="565"/>
      <c r="F6" s="565"/>
      <c r="G6" s="565"/>
      <c r="H6" s="565"/>
      <c r="I6" s="565"/>
    </row>
    <row r="7" spans="2:13" x14ac:dyDescent="0.25">
      <c r="B7" s="33"/>
      <c r="C7" s="566"/>
      <c r="D7" s="566"/>
      <c r="E7" s="566"/>
      <c r="F7" s="566"/>
      <c r="G7" s="566"/>
      <c r="H7" s="566"/>
      <c r="I7" s="566"/>
    </row>
    <row r="8" spans="2:13" x14ac:dyDescent="0.25">
      <c r="B8" s="567" t="s">
        <v>2</v>
      </c>
      <c r="C8" s="567"/>
      <c r="D8" s="567"/>
      <c r="E8" s="567"/>
      <c r="F8" s="567"/>
      <c r="G8" s="567"/>
      <c r="H8" s="567"/>
      <c r="I8" s="567"/>
    </row>
    <row r="9" spans="2:13" ht="73.5" customHeight="1" x14ac:dyDescent="0.25">
      <c r="B9" s="29" t="s">
        <v>3</v>
      </c>
      <c r="C9" s="29" t="s">
        <v>4</v>
      </c>
      <c r="D9" s="34" t="s">
        <v>6</v>
      </c>
      <c r="E9" s="29" t="s">
        <v>556</v>
      </c>
      <c r="F9" s="29" t="s">
        <v>560</v>
      </c>
      <c r="G9" s="29" t="s">
        <v>558</v>
      </c>
      <c r="H9" s="30" t="s">
        <v>559</v>
      </c>
      <c r="I9" s="30" t="s">
        <v>557</v>
      </c>
    </row>
    <row r="10" spans="2:13" x14ac:dyDescent="0.25">
      <c r="B10" s="35">
        <v>6</v>
      </c>
      <c r="C10" s="36"/>
      <c r="D10" s="515" t="s">
        <v>672</v>
      </c>
      <c r="E10" s="37" t="e">
        <f>E11+E34+E45+E51+E66+E75</f>
        <v>#REF!</v>
      </c>
      <c r="F10" s="37" t="e">
        <f>F11+F34+F45+F51+F66+F75</f>
        <v>#REF!</v>
      </c>
      <c r="G10" s="37">
        <f>G11+G34+G45+G51+G66+G75</f>
        <v>27399696.079999998</v>
      </c>
      <c r="H10" s="37">
        <f>H11+H34+H45+H51+H66+H75</f>
        <v>28076192.190000001</v>
      </c>
      <c r="I10" s="37">
        <f>I11+I34+I45+I51+I66+I75</f>
        <v>28547127.919999998</v>
      </c>
    </row>
    <row r="11" spans="2:13" x14ac:dyDescent="0.25">
      <c r="B11" s="38"/>
      <c r="C11" s="39">
        <v>63</v>
      </c>
      <c r="D11" s="40" t="s">
        <v>41</v>
      </c>
      <c r="E11" s="41" t="e">
        <f>E12+E14+E18+E21+E26+E31</f>
        <v>#REF!</v>
      </c>
      <c r="F11" s="41" t="e">
        <f>F12+F14+F18+F21+F26+F31</f>
        <v>#REF!</v>
      </c>
      <c r="G11" s="41">
        <f>G12+G14+G18+G21+G26+G31</f>
        <v>1176423.83</v>
      </c>
      <c r="H11" s="41">
        <f>H12+H14+H18+H21+H26+H31</f>
        <v>1047924.49</v>
      </c>
      <c r="I11" s="41">
        <f>I12+I14+I18+I21+I26+I31</f>
        <v>994248.49</v>
      </c>
      <c r="K11" s="42" t="s">
        <v>239</v>
      </c>
      <c r="M11" s="43"/>
    </row>
    <row r="12" spans="2:13" ht="31.5" hidden="1" x14ac:dyDescent="0.25">
      <c r="B12" s="38"/>
      <c r="C12" s="44">
        <v>632</v>
      </c>
      <c r="D12" s="45" t="s">
        <v>240</v>
      </c>
      <c r="E12" s="46">
        <f t="shared" ref="E12:I12" si="0">SUM(E13)</f>
        <v>0</v>
      </c>
      <c r="F12" s="46">
        <f t="shared" si="0"/>
        <v>0</v>
      </c>
      <c r="G12" s="46">
        <f t="shared" si="0"/>
        <v>0</v>
      </c>
      <c r="H12" s="46">
        <f t="shared" si="0"/>
        <v>0</v>
      </c>
      <c r="I12" s="46">
        <f t="shared" si="0"/>
        <v>0</v>
      </c>
    </row>
    <row r="13" spans="2:13" hidden="1" x14ac:dyDescent="0.25">
      <c r="B13" s="38"/>
      <c r="C13" s="47">
        <v>6324</v>
      </c>
      <c r="D13" s="48" t="s">
        <v>241</v>
      </c>
      <c r="E13" s="49">
        <v>0</v>
      </c>
      <c r="F13" s="49">
        <v>0</v>
      </c>
      <c r="G13" s="49">
        <v>0</v>
      </c>
      <c r="H13" s="49">
        <v>0</v>
      </c>
      <c r="I13" s="49">
        <v>0</v>
      </c>
    </row>
    <row r="14" spans="2:13" x14ac:dyDescent="0.25">
      <c r="B14" s="38"/>
      <c r="C14" s="44">
        <v>633</v>
      </c>
      <c r="D14" s="50" t="s">
        <v>242</v>
      </c>
      <c r="E14" s="46">
        <f>SUM(E15,E17)</f>
        <v>0</v>
      </c>
      <c r="F14" s="46">
        <f t="shared" ref="F14:I14" si="1">SUM(F15,F17)</f>
        <v>0</v>
      </c>
      <c r="G14" s="46">
        <f t="shared" si="1"/>
        <v>500</v>
      </c>
      <c r="H14" s="46">
        <f t="shared" si="1"/>
        <v>500</v>
      </c>
      <c r="I14" s="46">
        <f t="shared" si="1"/>
        <v>500</v>
      </c>
      <c r="K14" s="31" t="s">
        <v>243</v>
      </c>
    </row>
    <row r="15" spans="2:13" x14ac:dyDescent="0.25">
      <c r="B15" s="38"/>
      <c r="C15" s="38">
        <v>6331</v>
      </c>
      <c r="D15" s="51" t="s">
        <v>244</v>
      </c>
      <c r="E15" s="49">
        <f>E16</f>
        <v>0</v>
      </c>
      <c r="F15" s="49">
        <f t="shared" ref="F15:I15" si="2">F16</f>
        <v>0</v>
      </c>
      <c r="G15" s="49">
        <f t="shared" si="2"/>
        <v>500</v>
      </c>
      <c r="H15" s="49">
        <f t="shared" si="2"/>
        <v>500</v>
      </c>
      <c r="I15" s="49">
        <f t="shared" si="2"/>
        <v>500</v>
      </c>
      <c r="K15" s="42" t="s">
        <v>245</v>
      </c>
    </row>
    <row r="16" spans="2:13" x14ac:dyDescent="0.25">
      <c r="B16" s="54"/>
      <c r="C16" s="54">
        <v>63313</v>
      </c>
      <c r="D16" s="61" t="s">
        <v>578</v>
      </c>
      <c r="E16" s="49">
        <f>'Prihodi po ek klas i izvorima'!E71</f>
        <v>0</v>
      </c>
      <c r="F16" s="49">
        <f>'Prihodi po ek klas i izvorima'!F71</f>
        <v>0</v>
      </c>
      <c r="G16" s="49">
        <f>'Prihodi po ek klas i izvorima'!G71</f>
        <v>500</v>
      </c>
      <c r="H16" s="49">
        <f>'Prihodi po ek klas i izvorima'!H71</f>
        <v>500</v>
      </c>
      <c r="I16" s="49">
        <f>'Prihodi po ek klas i izvorima'!I71</f>
        <v>500</v>
      </c>
    </row>
    <row r="17" spans="2:9" hidden="1" x14ac:dyDescent="0.25">
      <c r="B17" s="38"/>
      <c r="C17" s="38">
        <v>6332</v>
      </c>
      <c r="D17" s="51" t="s">
        <v>246</v>
      </c>
      <c r="E17" s="49">
        <v>0</v>
      </c>
      <c r="F17" s="49">
        <v>0</v>
      </c>
      <c r="G17" s="49">
        <v>0</v>
      </c>
      <c r="H17" s="49">
        <v>0</v>
      </c>
      <c r="I17" s="49">
        <v>0</v>
      </c>
    </row>
    <row r="18" spans="2:9" s="53" customFormat="1" x14ac:dyDescent="0.25">
      <c r="B18" s="38"/>
      <c r="C18" s="38">
        <v>634</v>
      </c>
      <c r="D18" s="51" t="s">
        <v>24</v>
      </c>
      <c r="E18" s="52">
        <f t="shared" ref="E18:F18" si="3">SUM(E19)</f>
        <v>0</v>
      </c>
      <c r="F18" s="52">
        <f t="shared" si="3"/>
        <v>0</v>
      </c>
      <c r="G18" s="52">
        <f>SUM(G19)</f>
        <v>68314.61</v>
      </c>
      <c r="H18" s="52">
        <f t="shared" ref="H18:I18" si="4">SUM(H19)</f>
        <v>68314.61</v>
      </c>
      <c r="I18" s="52">
        <f t="shared" si="4"/>
        <v>68314.61</v>
      </c>
    </row>
    <row r="19" spans="2:9" s="53" customFormat="1" x14ac:dyDescent="0.25">
      <c r="B19" s="38"/>
      <c r="C19" s="38">
        <v>6341</v>
      </c>
      <c r="D19" s="51" t="s">
        <v>247</v>
      </c>
      <c r="E19" s="52">
        <f t="shared" ref="E19:F19" si="5">E20</f>
        <v>0</v>
      </c>
      <c r="F19" s="52">
        <f t="shared" si="5"/>
        <v>0</v>
      </c>
      <c r="G19" s="52">
        <f>G20</f>
        <v>68314.61</v>
      </c>
      <c r="H19" s="52">
        <f t="shared" ref="H19:I19" si="6">H20</f>
        <v>68314.61</v>
      </c>
      <c r="I19" s="52">
        <f t="shared" si="6"/>
        <v>68314.61</v>
      </c>
    </row>
    <row r="20" spans="2:9" ht="15.75" customHeight="1" x14ac:dyDescent="0.25">
      <c r="B20" s="38"/>
      <c r="C20" s="54">
        <v>63414</v>
      </c>
      <c r="D20" s="55" t="s">
        <v>247</v>
      </c>
      <c r="E20" s="49">
        <f>'Prihodi po ek klas i izvorima'!E75</f>
        <v>0</v>
      </c>
      <c r="F20" s="49">
        <f>'Prihodi po ek klas i izvorima'!F75</f>
        <v>0</v>
      </c>
      <c r="G20" s="49">
        <f>'Prihodi po ek klas i izvorima'!G75</f>
        <v>68314.61</v>
      </c>
      <c r="H20" s="49">
        <f>'Prihodi po ek klas i izvorima'!H75</f>
        <v>68314.61</v>
      </c>
      <c r="I20" s="49">
        <f>'Prihodi po ek klas i izvorima'!I75</f>
        <v>68314.61</v>
      </c>
    </row>
    <row r="21" spans="2:9" ht="31.5" x14ac:dyDescent="0.25">
      <c r="B21" s="38"/>
      <c r="C21" s="38">
        <v>636</v>
      </c>
      <c r="D21" s="56" t="s">
        <v>248</v>
      </c>
      <c r="E21" s="52">
        <f>SUM(E22,E24)</f>
        <v>0</v>
      </c>
      <c r="F21" s="52">
        <f t="shared" ref="F21:I21" si="7">SUM(F22,F24)</f>
        <v>0</v>
      </c>
      <c r="G21" s="52">
        <f t="shared" si="7"/>
        <v>14000</v>
      </c>
      <c r="H21" s="52">
        <f t="shared" si="7"/>
        <v>0</v>
      </c>
      <c r="I21" s="52">
        <f t="shared" si="7"/>
        <v>0</v>
      </c>
    </row>
    <row r="22" spans="2:9" ht="31.5" x14ac:dyDescent="0.25">
      <c r="B22" s="38"/>
      <c r="C22" s="38">
        <v>6361</v>
      </c>
      <c r="D22" s="56" t="s">
        <v>249</v>
      </c>
      <c r="E22" s="52">
        <f t="shared" ref="E22:I22" si="8">E23</f>
        <v>0</v>
      </c>
      <c r="F22" s="52">
        <f t="shared" si="8"/>
        <v>0</v>
      </c>
      <c r="G22" s="52">
        <f t="shared" si="8"/>
        <v>14000</v>
      </c>
      <c r="H22" s="52">
        <f t="shared" si="8"/>
        <v>0</v>
      </c>
      <c r="I22" s="52">
        <f t="shared" si="8"/>
        <v>0</v>
      </c>
    </row>
    <row r="23" spans="2:9" ht="31.5" x14ac:dyDescent="0.25">
      <c r="B23" s="38"/>
      <c r="C23" s="54">
        <v>63612</v>
      </c>
      <c r="D23" s="57" t="s">
        <v>249</v>
      </c>
      <c r="E23" s="49">
        <f>'Prihodi po ek klas i izvorima'!E78</f>
        <v>0</v>
      </c>
      <c r="F23" s="49">
        <f>'Prihodi po ek klas i izvorima'!F78</f>
        <v>0</v>
      </c>
      <c r="G23" s="49">
        <f>'Prihodi po ek klas i izvorima'!G78</f>
        <v>14000</v>
      </c>
      <c r="H23" s="49">
        <f>'Prihodi po ek klas i izvorima'!H78</f>
        <v>0</v>
      </c>
      <c r="I23" s="49">
        <f>'Prihodi po ek klas i izvorima'!I78</f>
        <v>0</v>
      </c>
    </row>
    <row r="24" spans="2:9" ht="31.5" hidden="1" x14ac:dyDescent="0.25">
      <c r="B24" s="38"/>
      <c r="C24" s="38">
        <v>6362</v>
      </c>
      <c r="D24" s="56" t="s">
        <v>582</v>
      </c>
      <c r="E24" s="52">
        <f>E25</f>
        <v>0</v>
      </c>
      <c r="F24" s="52">
        <f t="shared" ref="F24:I24" si="9">F25</f>
        <v>0</v>
      </c>
      <c r="G24" s="52">
        <f t="shared" si="9"/>
        <v>0</v>
      </c>
      <c r="H24" s="52">
        <f t="shared" si="9"/>
        <v>0</v>
      </c>
      <c r="I24" s="52">
        <f t="shared" si="9"/>
        <v>0</v>
      </c>
    </row>
    <row r="25" spans="2:9" ht="31.5" hidden="1" x14ac:dyDescent="0.25">
      <c r="B25" s="38"/>
      <c r="C25" s="54">
        <v>63622</v>
      </c>
      <c r="D25" s="57" t="s">
        <v>582</v>
      </c>
      <c r="E25" s="49">
        <f>'Prihodi po ek klas i izvorima'!E80</f>
        <v>0</v>
      </c>
      <c r="F25" s="49">
        <f>'Prihodi po ek klas i izvorima'!F80</f>
        <v>0</v>
      </c>
      <c r="G25" s="49">
        <f>'Prihodi po ek klas i izvorima'!G80</f>
        <v>0</v>
      </c>
      <c r="H25" s="49">
        <f>'Prihodi po ek klas i izvorima'!H80</f>
        <v>0</v>
      </c>
      <c r="I25" s="49">
        <f>'Prihodi po ek klas i izvorima'!I80</f>
        <v>0</v>
      </c>
    </row>
    <row r="26" spans="2:9" s="53" customFormat="1" x14ac:dyDescent="0.25">
      <c r="B26" s="38"/>
      <c r="C26" s="38">
        <v>638</v>
      </c>
      <c r="D26" s="56" t="s">
        <v>250</v>
      </c>
      <c r="E26" s="52" t="e">
        <f>E27+E29</f>
        <v>#REF!</v>
      </c>
      <c r="F26" s="52" t="e">
        <f>F27+F29</f>
        <v>#REF!</v>
      </c>
      <c r="G26" s="52">
        <f>G27+G29</f>
        <v>593609.22</v>
      </c>
      <c r="H26" s="52">
        <f>H27+H29</f>
        <v>479109.88</v>
      </c>
      <c r="I26" s="52">
        <f>I27+I29</f>
        <v>425433.88</v>
      </c>
    </row>
    <row r="27" spans="2:9" s="53" customFormat="1" ht="15.75" customHeight="1" x14ac:dyDescent="0.25">
      <c r="B27" s="38"/>
      <c r="C27" s="38">
        <v>6381</v>
      </c>
      <c r="D27" s="56" t="s">
        <v>34</v>
      </c>
      <c r="E27" s="52">
        <f>SUM(E28:E28)</f>
        <v>0</v>
      </c>
      <c r="F27" s="52">
        <f>SUM(F28:F28)</f>
        <v>0</v>
      </c>
      <c r="G27" s="52">
        <f>SUM(G28:G28)</f>
        <v>437409.22</v>
      </c>
      <c r="H27" s="52">
        <f>SUM(H28:H28)</f>
        <v>319785.88</v>
      </c>
      <c r="I27" s="52">
        <f>SUM(I28:I28)</f>
        <v>262923.40000000002</v>
      </c>
    </row>
    <row r="28" spans="2:9" s="53" customFormat="1" ht="15.75" customHeight="1" x14ac:dyDescent="0.25">
      <c r="B28" s="54"/>
      <c r="C28" s="54">
        <v>63811</v>
      </c>
      <c r="D28" s="57" t="s">
        <v>651</v>
      </c>
      <c r="E28" s="49">
        <f>'Prihodi po ek klas i izvorima'!E94</f>
        <v>0</v>
      </c>
      <c r="F28" s="49">
        <f>'Prihodi po ek klas i izvorima'!F94</f>
        <v>0</v>
      </c>
      <c r="G28" s="49">
        <f>'Prihodi po ek klas i izvorima'!G94</f>
        <v>437409.22</v>
      </c>
      <c r="H28" s="49">
        <f>'Prihodi po ek klas i izvorima'!H94</f>
        <v>319785.88</v>
      </c>
      <c r="I28" s="49">
        <f>'Prihodi po ek klas i izvorima'!I94</f>
        <v>262923.40000000002</v>
      </c>
    </row>
    <row r="29" spans="2:9" s="53" customFormat="1" x14ac:dyDescent="0.25">
      <c r="B29" s="38"/>
      <c r="C29" s="38">
        <v>6382</v>
      </c>
      <c r="D29" s="56" t="s">
        <v>721</v>
      </c>
      <c r="E29" s="52" t="e">
        <f>E30+#REF!</f>
        <v>#REF!</v>
      </c>
      <c r="F29" s="52" t="e">
        <f>F30+#REF!</f>
        <v>#REF!</v>
      </c>
      <c r="G29" s="52">
        <f>G30</f>
        <v>156200</v>
      </c>
      <c r="H29" s="52">
        <f t="shared" ref="H29:I29" si="10">H30</f>
        <v>159324</v>
      </c>
      <c r="I29" s="52">
        <f t="shared" si="10"/>
        <v>162510.48000000001</v>
      </c>
    </row>
    <row r="30" spans="2:9" s="53" customFormat="1" x14ac:dyDescent="0.25">
      <c r="B30" s="38"/>
      <c r="C30" s="54">
        <v>63821</v>
      </c>
      <c r="D30" s="57" t="s">
        <v>657</v>
      </c>
      <c r="E30" s="49" t="e">
        <f>'Prihodi po ek klas i izvorima'!#REF!</f>
        <v>#REF!</v>
      </c>
      <c r="F30" s="49" t="e">
        <f>'Prihodi po ek klas i izvorima'!#REF!</f>
        <v>#REF!</v>
      </c>
      <c r="G30" s="49">
        <f>'Prihodi po ek klas i izvorima'!G88</f>
        <v>156200</v>
      </c>
      <c r="H30" s="49">
        <f>'Prihodi po ek klas i izvorima'!H88</f>
        <v>159324</v>
      </c>
      <c r="I30" s="49">
        <f>'Prihodi po ek klas i izvorima'!I88</f>
        <v>162510.48000000001</v>
      </c>
    </row>
    <row r="31" spans="2:9" x14ac:dyDescent="0.25">
      <c r="B31" s="38"/>
      <c r="C31" s="38">
        <v>639</v>
      </c>
      <c r="D31" s="56" t="s">
        <v>252</v>
      </c>
      <c r="E31" s="52">
        <f t="shared" ref="E31:F31" si="11">SUM(E32)</f>
        <v>0</v>
      </c>
      <c r="F31" s="52">
        <f t="shared" si="11"/>
        <v>0</v>
      </c>
      <c r="G31" s="52">
        <f>SUM(G32)</f>
        <v>500000</v>
      </c>
      <c r="H31" s="52">
        <f>SUM(H32)</f>
        <v>500000</v>
      </c>
      <c r="I31" s="52">
        <f>SUM(I32)</f>
        <v>500000</v>
      </c>
    </row>
    <row r="32" spans="2:9" s="53" customFormat="1" ht="15.75" customHeight="1" x14ac:dyDescent="0.25">
      <c r="B32" s="38"/>
      <c r="C32" s="38">
        <v>6391</v>
      </c>
      <c r="D32" s="56" t="s">
        <v>253</v>
      </c>
      <c r="E32" s="52">
        <f>E33</f>
        <v>0</v>
      </c>
      <c r="F32" s="52">
        <f t="shared" ref="F32:I32" si="12">F33</f>
        <v>0</v>
      </c>
      <c r="G32" s="52">
        <f t="shared" si="12"/>
        <v>500000</v>
      </c>
      <c r="H32" s="52">
        <f t="shared" si="12"/>
        <v>500000</v>
      </c>
      <c r="I32" s="52">
        <f t="shared" si="12"/>
        <v>500000</v>
      </c>
    </row>
    <row r="33" spans="2:9" s="53" customFormat="1" ht="15.75" customHeight="1" x14ac:dyDescent="0.25">
      <c r="B33" s="38"/>
      <c r="C33" s="54">
        <v>63911</v>
      </c>
      <c r="D33" s="57" t="s">
        <v>40</v>
      </c>
      <c r="E33" s="49">
        <f>'Prihodi po ek klas i izvorima'!E83</f>
        <v>0</v>
      </c>
      <c r="F33" s="49">
        <f>'Prihodi po ek klas i izvorima'!F83</f>
        <v>0</v>
      </c>
      <c r="G33" s="49">
        <f>'Prihodi po ek klas i izvorima'!G83</f>
        <v>500000</v>
      </c>
      <c r="H33" s="49">
        <f>'Prihodi po ek klas i izvorima'!H83</f>
        <v>500000</v>
      </c>
      <c r="I33" s="49">
        <f>'Prihodi po ek klas i izvorima'!I83</f>
        <v>500000</v>
      </c>
    </row>
    <row r="34" spans="2:9" x14ac:dyDescent="0.25">
      <c r="B34" s="38"/>
      <c r="C34" s="58">
        <v>64</v>
      </c>
      <c r="D34" s="59" t="s">
        <v>42</v>
      </c>
      <c r="E34" s="60">
        <f>E35+E42</f>
        <v>0</v>
      </c>
      <c r="F34" s="60">
        <f t="shared" ref="F34:I34" si="13">F35+F42</f>
        <v>0</v>
      </c>
      <c r="G34" s="60">
        <f t="shared" si="13"/>
        <v>101000</v>
      </c>
      <c r="H34" s="60">
        <f t="shared" si="13"/>
        <v>103404</v>
      </c>
      <c r="I34" s="60">
        <f t="shared" si="13"/>
        <v>105448.08</v>
      </c>
    </row>
    <row r="35" spans="2:9" x14ac:dyDescent="0.25">
      <c r="B35" s="38"/>
      <c r="C35" s="38">
        <v>641</v>
      </c>
      <c r="D35" s="51" t="s">
        <v>43</v>
      </c>
      <c r="E35" s="52">
        <f>E36+E38+E40</f>
        <v>0</v>
      </c>
      <c r="F35" s="52">
        <f t="shared" ref="F35:I35" si="14">F36+F38+F40</f>
        <v>0</v>
      </c>
      <c r="G35" s="52">
        <f t="shared" si="14"/>
        <v>100600</v>
      </c>
      <c r="H35" s="52">
        <f t="shared" si="14"/>
        <v>102804</v>
      </c>
      <c r="I35" s="52">
        <f t="shared" si="14"/>
        <v>104848.08</v>
      </c>
    </row>
    <row r="36" spans="2:9" x14ac:dyDescent="0.25">
      <c r="B36" s="38"/>
      <c r="C36" s="38">
        <v>6413</v>
      </c>
      <c r="D36" s="51" t="s">
        <v>254</v>
      </c>
      <c r="E36" s="52">
        <f t="shared" ref="E36:F36" si="15">SUM(E37)</f>
        <v>0</v>
      </c>
      <c r="F36" s="52">
        <f t="shared" si="15"/>
        <v>0</v>
      </c>
      <c r="G36" s="52">
        <f>SUM(G37)</f>
        <v>550</v>
      </c>
      <c r="H36" s="52">
        <f t="shared" ref="H36:I36" si="16">SUM(H37)</f>
        <v>754</v>
      </c>
      <c r="I36" s="52">
        <f t="shared" si="16"/>
        <v>758.08</v>
      </c>
    </row>
    <row r="37" spans="2:9" x14ac:dyDescent="0.25">
      <c r="B37" s="38"/>
      <c r="C37" s="54">
        <v>64132</v>
      </c>
      <c r="D37" s="61" t="s">
        <v>254</v>
      </c>
      <c r="E37" s="49">
        <f>'Prihodi po ek klas i izvorima'!E20</f>
        <v>0</v>
      </c>
      <c r="F37" s="49">
        <f>'Prihodi po ek klas i izvorima'!F20</f>
        <v>0</v>
      </c>
      <c r="G37" s="49">
        <f>'Prihodi po ek klas i izvorima'!G20</f>
        <v>550</v>
      </c>
      <c r="H37" s="49">
        <f>'Prihodi po ek klas i izvorima'!H20</f>
        <v>754</v>
      </c>
      <c r="I37" s="49">
        <f>'Prihodi po ek klas i izvorima'!I20</f>
        <v>758.08</v>
      </c>
    </row>
    <row r="38" spans="2:9" s="42" customFormat="1" x14ac:dyDescent="0.25">
      <c r="B38" s="38"/>
      <c r="C38" s="38">
        <v>6414</v>
      </c>
      <c r="D38" s="51" t="s">
        <v>574</v>
      </c>
      <c r="E38" s="52">
        <f>E39</f>
        <v>0</v>
      </c>
      <c r="F38" s="52">
        <f t="shared" ref="F38:I38" si="17">F39</f>
        <v>0</v>
      </c>
      <c r="G38" s="52">
        <f t="shared" si="17"/>
        <v>50</v>
      </c>
      <c r="H38" s="52">
        <f t="shared" si="17"/>
        <v>50</v>
      </c>
      <c r="I38" s="52">
        <f t="shared" si="17"/>
        <v>50</v>
      </c>
    </row>
    <row r="39" spans="2:9" x14ac:dyDescent="0.25">
      <c r="B39" s="38"/>
      <c r="C39" s="54">
        <v>64143</v>
      </c>
      <c r="D39" s="61" t="s">
        <v>574</v>
      </c>
      <c r="E39" s="49">
        <f>'Prihodi po ek klas i izvorima'!E22</f>
        <v>0</v>
      </c>
      <c r="F39" s="49">
        <f>'Prihodi po ek klas i izvorima'!F22</f>
        <v>0</v>
      </c>
      <c r="G39" s="49">
        <f>'Prihodi po ek klas i izvorima'!G22</f>
        <v>50</v>
      </c>
      <c r="H39" s="49">
        <f>'Prihodi po ek klas i izvorima'!H22</f>
        <v>50</v>
      </c>
      <c r="I39" s="49">
        <f>'Prihodi po ek klas i izvorima'!I22</f>
        <v>50</v>
      </c>
    </row>
    <row r="40" spans="2:9" x14ac:dyDescent="0.25">
      <c r="B40" s="38"/>
      <c r="C40" s="38">
        <v>6419</v>
      </c>
      <c r="D40" s="51" t="s">
        <v>44</v>
      </c>
      <c r="E40" s="52">
        <f>E41</f>
        <v>0</v>
      </c>
      <c r="F40" s="52">
        <f t="shared" ref="F40:I40" si="18">F41</f>
        <v>0</v>
      </c>
      <c r="G40" s="52">
        <f t="shared" si="18"/>
        <v>100000</v>
      </c>
      <c r="H40" s="52">
        <f t="shared" si="18"/>
        <v>102000</v>
      </c>
      <c r="I40" s="52">
        <f t="shared" si="18"/>
        <v>104040</v>
      </c>
    </row>
    <row r="41" spans="2:9" x14ac:dyDescent="0.25">
      <c r="B41" s="54"/>
      <c r="C41" s="54">
        <v>64199</v>
      </c>
      <c r="D41" s="61" t="s">
        <v>44</v>
      </c>
      <c r="E41" s="49">
        <f>'Prihodi po ek klas i izvorima'!E24+'Prihodi po ek klas i izvorima'!E48</f>
        <v>0</v>
      </c>
      <c r="F41" s="49">
        <f>'Prihodi po ek klas i izvorima'!F24+'Prihodi po ek klas i izvorima'!F48</f>
        <v>0</v>
      </c>
      <c r="G41" s="49">
        <f>'Prihodi po ek klas i izvorima'!G24+'Prihodi po ek klas i izvorima'!G48</f>
        <v>100000</v>
      </c>
      <c r="H41" s="49">
        <f>'Prihodi po ek klas i izvorima'!H24+'Prihodi po ek klas i izvorima'!H48</f>
        <v>102000</v>
      </c>
      <c r="I41" s="49">
        <f>'Prihodi po ek klas i izvorima'!I24+'Prihodi po ek klas i izvorima'!I48</f>
        <v>104040</v>
      </c>
    </row>
    <row r="42" spans="2:9" x14ac:dyDescent="0.25">
      <c r="B42" s="38"/>
      <c r="C42" s="38">
        <v>642</v>
      </c>
      <c r="D42" s="51" t="s">
        <v>658</v>
      </c>
      <c r="E42" s="52">
        <f>E43</f>
        <v>0</v>
      </c>
      <c r="F42" s="52">
        <f t="shared" ref="F42:I42" si="19">F43</f>
        <v>0</v>
      </c>
      <c r="G42" s="52">
        <f t="shared" si="19"/>
        <v>400</v>
      </c>
      <c r="H42" s="52">
        <f t="shared" si="19"/>
        <v>600</v>
      </c>
      <c r="I42" s="52">
        <f t="shared" si="19"/>
        <v>600</v>
      </c>
    </row>
    <row r="43" spans="2:9" x14ac:dyDescent="0.25">
      <c r="B43" s="38"/>
      <c r="C43" s="38">
        <v>6429</v>
      </c>
      <c r="D43" s="51" t="s">
        <v>58</v>
      </c>
      <c r="E43" s="52">
        <f>E44</f>
        <v>0</v>
      </c>
      <c r="F43" s="52">
        <f t="shared" ref="F43:I43" si="20">F44</f>
        <v>0</v>
      </c>
      <c r="G43" s="52">
        <f t="shared" si="20"/>
        <v>400</v>
      </c>
      <c r="H43" s="52">
        <f t="shared" si="20"/>
        <v>600</v>
      </c>
      <c r="I43" s="52">
        <f t="shared" si="20"/>
        <v>600</v>
      </c>
    </row>
    <row r="44" spans="2:9" x14ac:dyDescent="0.25">
      <c r="B44" s="54"/>
      <c r="C44" s="54">
        <v>64299</v>
      </c>
      <c r="D44" s="61" t="s">
        <v>58</v>
      </c>
      <c r="E44" s="49">
        <f>'Prihodi po ek klas i izvorima'!E27</f>
        <v>0</v>
      </c>
      <c r="F44" s="49">
        <f>'Prihodi po ek klas i izvorima'!F27</f>
        <v>0</v>
      </c>
      <c r="G44" s="49">
        <f>'Prihodi po ek klas i izvorima'!G27</f>
        <v>400</v>
      </c>
      <c r="H44" s="49">
        <f>'Prihodi po ek klas i izvorima'!H27</f>
        <v>600</v>
      </c>
      <c r="I44" s="49">
        <f>'Prihodi po ek klas i izvorima'!I27</f>
        <v>600</v>
      </c>
    </row>
    <row r="45" spans="2:9" x14ac:dyDescent="0.25">
      <c r="B45" s="38"/>
      <c r="C45" s="58">
        <v>65</v>
      </c>
      <c r="D45" s="59" t="s">
        <v>46</v>
      </c>
      <c r="E45" s="60">
        <f t="shared" ref="E45:F45" si="21">E46</f>
        <v>0</v>
      </c>
      <c r="F45" s="60">
        <f t="shared" si="21"/>
        <v>0</v>
      </c>
      <c r="G45" s="60">
        <f>G46</f>
        <v>942800</v>
      </c>
      <c r="H45" s="60">
        <f>H46</f>
        <v>971670</v>
      </c>
      <c r="I45" s="60">
        <f>I46</f>
        <v>982623.4</v>
      </c>
    </row>
    <row r="46" spans="2:9" x14ac:dyDescent="0.25">
      <c r="B46" s="38"/>
      <c r="C46" s="38">
        <v>652</v>
      </c>
      <c r="D46" s="51" t="s">
        <v>46</v>
      </c>
      <c r="E46" s="52">
        <f t="shared" ref="E46:F46" si="22">SUM(E47)</f>
        <v>0</v>
      </c>
      <c r="F46" s="52">
        <f t="shared" si="22"/>
        <v>0</v>
      </c>
      <c r="G46" s="52">
        <f>SUM(G47)</f>
        <v>942800</v>
      </c>
      <c r="H46" s="52">
        <f t="shared" ref="H46:I46" si="23">SUM(H47)</f>
        <v>971670</v>
      </c>
      <c r="I46" s="52">
        <f t="shared" si="23"/>
        <v>982623.4</v>
      </c>
    </row>
    <row r="47" spans="2:9" x14ac:dyDescent="0.25">
      <c r="B47" s="38"/>
      <c r="C47" s="38">
        <v>6526</v>
      </c>
      <c r="D47" s="51" t="s">
        <v>47</v>
      </c>
      <c r="E47" s="52">
        <f t="shared" ref="E47:F47" si="24">SUM(E48:E50)</f>
        <v>0</v>
      </c>
      <c r="F47" s="52">
        <f t="shared" si="24"/>
        <v>0</v>
      </c>
      <c r="G47" s="52">
        <f>SUM(G48:G50)</f>
        <v>942800</v>
      </c>
      <c r="H47" s="52">
        <f t="shared" ref="H47:I47" si="25">SUM(H48:H50)</f>
        <v>971670</v>
      </c>
      <c r="I47" s="52">
        <f t="shared" si="25"/>
        <v>982623.4</v>
      </c>
    </row>
    <row r="48" spans="2:9" x14ac:dyDescent="0.25">
      <c r="B48" s="38"/>
      <c r="C48" s="54">
        <v>65264</v>
      </c>
      <c r="D48" s="61" t="s">
        <v>472</v>
      </c>
      <c r="E48" s="49">
        <f>'Prihodi po ek klas i izvorima'!E52</f>
        <v>0</v>
      </c>
      <c r="F48" s="49">
        <f>'Prihodi po ek klas i izvorima'!F52</f>
        <v>0</v>
      </c>
      <c r="G48" s="49">
        <f>'Prihodi po ek klas i izvorima'!G52</f>
        <v>902800</v>
      </c>
      <c r="H48" s="49">
        <f>'Prihodi po ek klas i izvorima'!H52</f>
        <v>929020</v>
      </c>
      <c r="I48" s="49">
        <f>'Prihodi po ek klas i izvorima'!I52</f>
        <v>938190.4</v>
      </c>
    </row>
    <row r="49" spans="2:9" x14ac:dyDescent="0.25">
      <c r="B49" s="38"/>
      <c r="C49" s="54">
        <v>65267</v>
      </c>
      <c r="D49" s="61" t="s">
        <v>473</v>
      </c>
      <c r="E49" s="49">
        <f>'Prihodi po ek klas i izvorima'!E110</f>
        <v>0</v>
      </c>
      <c r="F49" s="49">
        <f>'Prihodi po ek klas i izvorima'!F110</f>
        <v>0</v>
      </c>
      <c r="G49" s="49">
        <f>'Prihodi po ek klas i izvorima'!G53+'Prihodi po ek klas i izvorima'!G110</f>
        <v>11500</v>
      </c>
      <c r="H49" s="49">
        <f>'Prihodi po ek klas i izvorima'!H53+'Prihodi po ek klas i izvorima'!H110</f>
        <v>11775</v>
      </c>
      <c r="I49" s="49">
        <f>'Prihodi po ek klas i izvorima'!I53+'Prihodi po ek klas i izvorima'!I110</f>
        <v>12064</v>
      </c>
    </row>
    <row r="50" spans="2:9" x14ac:dyDescent="0.25">
      <c r="B50" s="38"/>
      <c r="C50" s="54">
        <v>65269</v>
      </c>
      <c r="D50" s="61" t="s">
        <v>474</v>
      </c>
      <c r="E50" s="49">
        <f>'Prihodi po ek klas i izvorima'!E54</f>
        <v>0</v>
      </c>
      <c r="F50" s="49">
        <f>'Prihodi po ek klas i izvorima'!F54</f>
        <v>0</v>
      </c>
      <c r="G50" s="49">
        <f>'Prihodi po ek klas i izvorima'!G54</f>
        <v>28500</v>
      </c>
      <c r="H50" s="49">
        <f>'Prihodi po ek klas i izvorima'!H54</f>
        <v>30875</v>
      </c>
      <c r="I50" s="49">
        <f>'Prihodi po ek klas i izvorima'!I54</f>
        <v>32369</v>
      </c>
    </row>
    <row r="51" spans="2:9" x14ac:dyDescent="0.25">
      <c r="B51" s="38"/>
      <c r="C51" s="58">
        <v>66</v>
      </c>
      <c r="D51" s="59" t="s">
        <v>256</v>
      </c>
      <c r="E51" s="60">
        <f>E52+E60</f>
        <v>0</v>
      </c>
      <c r="F51" s="60">
        <f t="shared" ref="F51:I51" si="26">F52+F60</f>
        <v>0</v>
      </c>
      <c r="G51" s="60">
        <f t="shared" si="26"/>
        <v>3645116.33</v>
      </c>
      <c r="H51" s="60">
        <f t="shared" si="26"/>
        <v>3685936.33</v>
      </c>
      <c r="I51" s="60">
        <f t="shared" si="26"/>
        <v>3717368.73</v>
      </c>
    </row>
    <row r="52" spans="2:9" ht="15.75" customHeight="1" x14ac:dyDescent="0.25">
      <c r="B52" s="38"/>
      <c r="C52" s="38">
        <v>661</v>
      </c>
      <c r="D52" s="56" t="s">
        <v>257</v>
      </c>
      <c r="E52" s="52">
        <f>SUM(E53,E56)</f>
        <v>0</v>
      </c>
      <c r="F52" s="52">
        <f t="shared" ref="F52:I52" si="27">SUM(F53,F56)</f>
        <v>0</v>
      </c>
      <c r="G52" s="52">
        <f t="shared" si="27"/>
        <v>3643116.33</v>
      </c>
      <c r="H52" s="52">
        <f t="shared" si="27"/>
        <v>3683716.33</v>
      </c>
      <c r="I52" s="52">
        <f t="shared" si="27"/>
        <v>3714928.33</v>
      </c>
    </row>
    <row r="53" spans="2:9" x14ac:dyDescent="0.25">
      <c r="B53" s="54"/>
      <c r="C53" s="38">
        <v>6614</v>
      </c>
      <c r="D53" s="56" t="s">
        <v>258</v>
      </c>
      <c r="E53" s="52">
        <f>E54+E55</f>
        <v>0</v>
      </c>
      <c r="F53" s="52">
        <f t="shared" ref="F53:I53" si="28">F54+F55</f>
        <v>0</v>
      </c>
      <c r="G53" s="52">
        <f t="shared" si="28"/>
        <v>2625000</v>
      </c>
      <c r="H53" s="52">
        <f t="shared" si="28"/>
        <v>2656000</v>
      </c>
      <c r="I53" s="52">
        <f t="shared" si="28"/>
        <v>2677000</v>
      </c>
    </row>
    <row r="54" spans="2:9" x14ac:dyDescent="0.25">
      <c r="B54" s="54"/>
      <c r="C54" s="54">
        <v>66141</v>
      </c>
      <c r="D54" s="57" t="s">
        <v>722</v>
      </c>
      <c r="E54" s="49">
        <f>'Prihodi po ek klas i izvorima'!E31</f>
        <v>0</v>
      </c>
      <c r="F54" s="49">
        <f>'Prihodi po ek klas i izvorima'!F31</f>
        <v>0</v>
      </c>
      <c r="G54" s="49">
        <f>'Prihodi po ek klas i izvorima'!G31</f>
        <v>25000</v>
      </c>
      <c r="H54" s="49">
        <f>'Prihodi po ek klas i izvorima'!H31</f>
        <v>26000</v>
      </c>
      <c r="I54" s="49">
        <f>'Prihodi po ek klas i izvorima'!I31</f>
        <v>27000</v>
      </c>
    </row>
    <row r="55" spans="2:9" x14ac:dyDescent="0.25">
      <c r="B55" s="54"/>
      <c r="C55" s="54">
        <v>66142</v>
      </c>
      <c r="D55" s="57" t="s">
        <v>654</v>
      </c>
      <c r="E55" s="49">
        <f>'Prihodi po ek klas i izvorima'!E32</f>
        <v>0</v>
      </c>
      <c r="F55" s="49">
        <f>'Prihodi po ek klas i izvorima'!F32</f>
        <v>0</v>
      </c>
      <c r="G55" s="49">
        <f>'Prihodi po ek klas i izvorima'!G32</f>
        <v>2600000</v>
      </c>
      <c r="H55" s="49">
        <f>'Prihodi po ek klas i izvorima'!H32</f>
        <v>2630000</v>
      </c>
      <c r="I55" s="49">
        <f>'Prihodi po ek klas i izvorima'!I32</f>
        <v>2650000</v>
      </c>
    </row>
    <row r="56" spans="2:9" x14ac:dyDescent="0.25">
      <c r="B56" s="54"/>
      <c r="C56" s="38">
        <v>6615</v>
      </c>
      <c r="D56" s="56" t="s">
        <v>65</v>
      </c>
      <c r="E56" s="52">
        <f>SUM(E57:E59)</f>
        <v>0</v>
      </c>
      <c r="F56" s="52">
        <f t="shared" ref="F56:I56" si="29">SUM(F57:F59)</f>
        <v>0</v>
      </c>
      <c r="G56" s="52">
        <f t="shared" si="29"/>
        <v>1018116.33</v>
      </c>
      <c r="H56" s="52">
        <f t="shared" si="29"/>
        <v>1027716.33</v>
      </c>
      <c r="I56" s="52">
        <f t="shared" si="29"/>
        <v>1037928.33</v>
      </c>
    </row>
    <row r="57" spans="2:9" x14ac:dyDescent="0.25">
      <c r="B57" s="38"/>
      <c r="C57" s="54">
        <v>66151</v>
      </c>
      <c r="D57" s="61" t="s">
        <v>65</v>
      </c>
      <c r="E57" s="49">
        <f>'Prihodi po ek klas i izvorima'!E34</f>
        <v>0</v>
      </c>
      <c r="F57" s="49">
        <f>'Prihodi po ek klas i izvorima'!F34</f>
        <v>0</v>
      </c>
      <c r="G57" s="49">
        <f>'Prihodi po ek klas i izvorima'!G34</f>
        <v>1013116.33</v>
      </c>
      <c r="H57" s="49">
        <f>'Prihodi po ek klas i izvorima'!H34</f>
        <v>1022116.33</v>
      </c>
      <c r="I57" s="49">
        <f>'Prihodi po ek klas i izvorima'!I34</f>
        <v>1031116.33</v>
      </c>
    </row>
    <row r="58" spans="2:9" hidden="1" x14ac:dyDescent="0.25">
      <c r="B58" s="38"/>
      <c r="C58" s="54">
        <v>66153</v>
      </c>
      <c r="D58" s="61" t="s">
        <v>576</v>
      </c>
      <c r="E58" s="49">
        <f>'Prihodi po ek klas i izvorima'!E35</f>
        <v>0</v>
      </c>
      <c r="F58" s="49">
        <f>'Prihodi po ek klas i izvorima'!F35</f>
        <v>0</v>
      </c>
      <c r="G58" s="49">
        <f>'Prihodi po ek klas i izvorima'!G35</f>
        <v>0</v>
      </c>
      <c r="H58" s="49">
        <f>'Prihodi po ek klas i izvorima'!H35</f>
        <v>0</v>
      </c>
      <c r="I58" s="49">
        <f>'Prihodi po ek klas i izvorima'!I35</f>
        <v>0</v>
      </c>
    </row>
    <row r="59" spans="2:9" x14ac:dyDescent="0.25">
      <c r="B59" s="38"/>
      <c r="C59" s="54">
        <v>66157</v>
      </c>
      <c r="D59" s="55" t="s">
        <v>661</v>
      </c>
      <c r="E59" s="49">
        <f>'Prihodi po ek klas i izvorima'!E36</f>
        <v>0</v>
      </c>
      <c r="F59" s="49">
        <f>'Prihodi po ek klas i izvorima'!F36</f>
        <v>0</v>
      </c>
      <c r="G59" s="49">
        <f>'Prihodi po ek klas i izvorima'!G36</f>
        <v>5000</v>
      </c>
      <c r="H59" s="49">
        <f>'Prihodi po ek klas i izvorima'!H36</f>
        <v>5600</v>
      </c>
      <c r="I59" s="49">
        <f>'Prihodi po ek klas i izvorima'!I36</f>
        <v>6812</v>
      </c>
    </row>
    <row r="60" spans="2:9" x14ac:dyDescent="0.25">
      <c r="B60" s="38"/>
      <c r="C60" s="38">
        <v>663</v>
      </c>
      <c r="D60" s="51" t="s">
        <v>259</v>
      </c>
      <c r="E60" s="52">
        <f t="shared" ref="E60:F60" si="30">E61+E64</f>
        <v>0</v>
      </c>
      <c r="F60" s="52">
        <f t="shared" si="30"/>
        <v>0</v>
      </c>
      <c r="G60" s="52">
        <f>G61+G64</f>
        <v>2000</v>
      </c>
      <c r="H60" s="52">
        <f t="shared" ref="H60:I60" si="31">H61+H64</f>
        <v>2220</v>
      </c>
      <c r="I60" s="52">
        <f t="shared" si="31"/>
        <v>2440.4</v>
      </c>
    </row>
    <row r="61" spans="2:9" x14ac:dyDescent="0.25">
      <c r="B61" s="38"/>
      <c r="C61" s="38">
        <v>6631</v>
      </c>
      <c r="D61" s="51" t="s">
        <v>69</v>
      </c>
      <c r="E61" s="52">
        <f>SUM(E62:E63)</f>
        <v>0</v>
      </c>
      <c r="F61" s="52">
        <f t="shared" ref="F61:I61" si="32">SUM(F62:F63)</f>
        <v>0</v>
      </c>
      <c r="G61" s="52">
        <f t="shared" si="32"/>
        <v>1500</v>
      </c>
      <c r="H61" s="52">
        <f t="shared" si="32"/>
        <v>1720</v>
      </c>
      <c r="I61" s="52">
        <f t="shared" si="32"/>
        <v>1940.4</v>
      </c>
    </row>
    <row r="62" spans="2:9" x14ac:dyDescent="0.25">
      <c r="B62" s="54"/>
      <c r="C62" s="54">
        <v>66312</v>
      </c>
      <c r="D62" s="61" t="s">
        <v>668</v>
      </c>
      <c r="E62" s="49">
        <f>'Prihodi po ek klas i izvorima'!E101</f>
        <v>0</v>
      </c>
      <c r="F62" s="49">
        <f>'Prihodi po ek klas i izvorima'!F101</f>
        <v>0</v>
      </c>
      <c r="G62" s="49">
        <f>'Prihodi po ek klas i izvorima'!G101</f>
        <v>500</v>
      </c>
      <c r="H62" s="49">
        <f>'Prihodi po ek klas i izvorima'!H101</f>
        <v>520</v>
      </c>
      <c r="I62" s="49">
        <f>'Prihodi po ek klas i izvorima'!I101</f>
        <v>540.4</v>
      </c>
    </row>
    <row r="63" spans="2:9" x14ac:dyDescent="0.25">
      <c r="B63" s="38"/>
      <c r="C63" s="54">
        <v>66313</v>
      </c>
      <c r="D63" s="61" t="s">
        <v>69</v>
      </c>
      <c r="E63" s="49">
        <f>'Prihodi po ek klas i izvorima'!E102</f>
        <v>0</v>
      </c>
      <c r="F63" s="49">
        <f>'Prihodi po ek klas i izvorima'!F102</f>
        <v>0</v>
      </c>
      <c r="G63" s="49">
        <f>'Prihodi po ek klas i izvorima'!G102</f>
        <v>1000</v>
      </c>
      <c r="H63" s="49">
        <f>'Prihodi po ek klas i izvorima'!H102</f>
        <v>1200</v>
      </c>
      <c r="I63" s="49">
        <f>'Prihodi po ek klas i izvorima'!I102</f>
        <v>1400</v>
      </c>
    </row>
    <row r="64" spans="2:9" s="42" customFormat="1" x14ac:dyDescent="0.25">
      <c r="B64" s="38"/>
      <c r="C64" s="38">
        <v>6632</v>
      </c>
      <c r="D64" s="51" t="s">
        <v>71</v>
      </c>
      <c r="E64" s="52">
        <f>E65</f>
        <v>0</v>
      </c>
      <c r="F64" s="52">
        <f t="shared" ref="F64:I64" si="33">F65</f>
        <v>0</v>
      </c>
      <c r="G64" s="52">
        <f t="shared" si="33"/>
        <v>500</v>
      </c>
      <c r="H64" s="52">
        <f t="shared" si="33"/>
        <v>500</v>
      </c>
      <c r="I64" s="52">
        <f t="shared" si="33"/>
        <v>500</v>
      </c>
    </row>
    <row r="65" spans="2:9" x14ac:dyDescent="0.25">
      <c r="B65" s="54"/>
      <c r="C65" s="54">
        <v>66323</v>
      </c>
      <c r="D65" s="61" t="s">
        <v>667</v>
      </c>
      <c r="E65" s="49">
        <f>'Prihodi po ek klas i izvorima'!E104</f>
        <v>0</v>
      </c>
      <c r="F65" s="49">
        <f>'Prihodi po ek klas i izvorima'!F104</f>
        <v>0</v>
      </c>
      <c r="G65" s="49">
        <f>'Prihodi po ek klas i izvorima'!G104</f>
        <v>500</v>
      </c>
      <c r="H65" s="49">
        <f>'Prihodi po ek klas i izvorima'!H104</f>
        <v>500</v>
      </c>
      <c r="I65" s="49">
        <f>'Prihodi po ek klas i izvorima'!I104</f>
        <v>500</v>
      </c>
    </row>
    <row r="66" spans="2:9" x14ac:dyDescent="0.25">
      <c r="B66" s="38"/>
      <c r="C66" s="58">
        <v>67</v>
      </c>
      <c r="D66" s="59" t="s">
        <v>260</v>
      </c>
      <c r="E66" s="60" t="e">
        <f t="shared" ref="E66:F66" si="34">SUM(E67,E72)</f>
        <v>#REF!</v>
      </c>
      <c r="F66" s="60" t="e">
        <f t="shared" si="34"/>
        <v>#REF!</v>
      </c>
      <c r="G66" s="60">
        <f>SUM(G67,G72)</f>
        <v>21370355.919999998</v>
      </c>
      <c r="H66" s="60">
        <f t="shared" ref="H66:I66" si="35">SUM(H67,H72)</f>
        <v>22097637.370000001</v>
      </c>
      <c r="I66" s="60">
        <f t="shared" si="35"/>
        <v>22577186.82</v>
      </c>
    </row>
    <row r="67" spans="2:9" ht="31.5" x14ac:dyDescent="0.25">
      <c r="B67" s="38"/>
      <c r="C67" s="62">
        <v>671</v>
      </c>
      <c r="D67" s="321" t="s">
        <v>10</v>
      </c>
      <c r="E67" s="63" t="e">
        <f t="shared" ref="E67:F67" si="36">E68+E70</f>
        <v>#REF!</v>
      </c>
      <c r="F67" s="63" t="e">
        <f t="shared" si="36"/>
        <v>#REF!</v>
      </c>
      <c r="G67" s="63">
        <f>G68+G70</f>
        <v>1250606.02</v>
      </c>
      <c r="H67" s="63">
        <f t="shared" ref="H67:I67" si="37">H68+H70</f>
        <v>1250606.02</v>
      </c>
      <c r="I67" s="63">
        <f t="shared" si="37"/>
        <v>1250606.02</v>
      </c>
    </row>
    <row r="68" spans="2:9" ht="31.5" x14ac:dyDescent="0.25">
      <c r="B68" s="38"/>
      <c r="C68" s="62">
        <v>6711</v>
      </c>
      <c r="D68" s="321" t="s">
        <v>12</v>
      </c>
      <c r="E68" s="63">
        <f t="shared" ref="E68:F68" si="38">SUM(E69)</f>
        <v>0</v>
      </c>
      <c r="F68" s="63">
        <f t="shared" si="38"/>
        <v>0</v>
      </c>
      <c r="G68" s="63">
        <f>SUM(G69)</f>
        <v>481103.03</v>
      </c>
      <c r="H68" s="63">
        <f t="shared" ref="H68:I68" si="39">SUM(H69)</f>
        <v>481103.03</v>
      </c>
      <c r="I68" s="63">
        <f t="shared" si="39"/>
        <v>481103.03</v>
      </c>
    </row>
    <row r="69" spans="2:9" ht="31.5" x14ac:dyDescent="0.25">
      <c r="B69" s="38"/>
      <c r="C69" s="64">
        <v>67111</v>
      </c>
      <c r="D69" s="322" t="s">
        <v>12</v>
      </c>
      <c r="E69" s="65">
        <f>'Prihodi po ek klas i izvorima'!E12</f>
        <v>0</v>
      </c>
      <c r="F69" s="65">
        <f>'Prihodi po ek klas i izvorima'!F12</f>
        <v>0</v>
      </c>
      <c r="G69" s="65">
        <f>'Prihodi po ek klas i izvorima'!G12</f>
        <v>481103.03</v>
      </c>
      <c r="H69" s="65">
        <f>'Prihodi po ek klas i izvorima'!H12</f>
        <v>481103.03</v>
      </c>
      <c r="I69" s="65">
        <f>'Prihodi po ek klas i izvorima'!I12</f>
        <v>481103.03</v>
      </c>
    </row>
    <row r="70" spans="2:9" ht="31.5" x14ac:dyDescent="0.25">
      <c r="B70" s="38"/>
      <c r="C70" s="62">
        <v>6712</v>
      </c>
      <c r="D70" s="321" t="s">
        <v>14</v>
      </c>
      <c r="E70" s="63" t="e">
        <f t="shared" ref="E70:F70" si="40">SUM(E71)</f>
        <v>#REF!</v>
      </c>
      <c r="F70" s="63" t="e">
        <f t="shared" si="40"/>
        <v>#REF!</v>
      </c>
      <c r="G70" s="63">
        <f>SUM(G71)</f>
        <v>769502.99</v>
      </c>
      <c r="H70" s="63">
        <f t="shared" ref="H70:I70" si="41">SUM(H71)</f>
        <v>769502.99</v>
      </c>
      <c r="I70" s="63">
        <f t="shared" si="41"/>
        <v>769502.99</v>
      </c>
    </row>
    <row r="71" spans="2:9" x14ac:dyDescent="0.25">
      <c r="B71" s="38"/>
      <c r="C71" s="64">
        <v>67121</v>
      </c>
      <c r="D71" s="530" t="s">
        <v>14</v>
      </c>
      <c r="E71" s="65" t="e">
        <f>'Prihodi po ek klas i izvorima'!#REF!</f>
        <v>#REF!</v>
      </c>
      <c r="F71" s="65" t="e">
        <f>'Prihodi po ek klas i izvorima'!#REF!</f>
        <v>#REF!</v>
      </c>
      <c r="G71" s="65">
        <f>'Prihodi po ek klas i izvorima'!G14</f>
        <v>769502.99</v>
      </c>
      <c r="H71" s="65">
        <f>'Prihodi po ek klas i izvorima'!H14</f>
        <v>769502.99</v>
      </c>
      <c r="I71" s="65">
        <f>'Prihodi po ek klas i izvorima'!I14</f>
        <v>769502.99</v>
      </c>
    </row>
    <row r="72" spans="2:9" x14ac:dyDescent="0.25">
      <c r="B72" s="38"/>
      <c r="C72" s="38">
        <v>673</v>
      </c>
      <c r="D72" s="51" t="s">
        <v>261</v>
      </c>
      <c r="E72" s="52">
        <f t="shared" ref="E72:F72" si="42">SUM(E73)</f>
        <v>0</v>
      </c>
      <c r="F72" s="52">
        <f t="shared" si="42"/>
        <v>0</v>
      </c>
      <c r="G72" s="52">
        <f>SUM(G73)</f>
        <v>20119749.899999999</v>
      </c>
      <c r="H72" s="52">
        <f t="shared" ref="H72:I72" si="43">SUM(H73)</f>
        <v>20847031.350000001</v>
      </c>
      <c r="I72" s="52">
        <f t="shared" si="43"/>
        <v>21326580.800000001</v>
      </c>
    </row>
    <row r="73" spans="2:9" x14ac:dyDescent="0.25">
      <c r="B73" s="38"/>
      <c r="C73" s="38">
        <v>6731</v>
      </c>
      <c r="D73" s="51" t="s">
        <v>49</v>
      </c>
      <c r="E73" s="52">
        <f t="shared" ref="E73:F73" si="44">E74</f>
        <v>0</v>
      </c>
      <c r="F73" s="52">
        <f t="shared" si="44"/>
        <v>0</v>
      </c>
      <c r="G73" s="52">
        <f>G74</f>
        <v>20119749.899999999</v>
      </c>
      <c r="H73" s="52">
        <f t="shared" ref="H73:I73" si="45">H74</f>
        <v>20847031.350000001</v>
      </c>
      <c r="I73" s="52">
        <f t="shared" si="45"/>
        <v>21326580.800000001</v>
      </c>
    </row>
    <row r="74" spans="2:9" x14ac:dyDescent="0.25">
      <c r="B74" s="38"/>
      <c r="C74" s="54">
        <v>67311</v>
      </c>
      <c r="D74" s="61" t="s">
        <v>49</v>
      </c>
      <c r="E74" s="49">
        <f>'Prihodi po ek klas i izvorima'!E61</f>
        <v>0</v>
      </c>
      <c r="F74" s="49">
        <f>'Prihodi po ek klas i izvorima'!F61</f>
        <v>0</v>
      </c>
      <c r="G74" s="49">
        <f>'Prihodi po ek klas i izvorima'!G61</f>
        <v>20119749.899999999</v>
      </c>
      <c r="H74" s="49">
        <f>'Prihodi po ek klas i izvorima'!H61</f>
        <v>20847031.350000001</v>
      </c>
      <c r="I74" s="49">
        <f>'Prihodi po ek klas i izvorima'!I61</f>
        <v>21326580.800000001</v>
      </c>
    </row>
    <row r="75" spans="2:9" x14ac:dyDescent="0.25">
      <c r="B75" s="38"/>
      <c r="C75" s="58">
        <v>68</v>
      </c>
      <c r="D75" s="66" t="s">
        <v>52</v>
      </c>
      <c r="E75" s="60">
        <f t="shared" ref="E75:I75" si="46">SUM(E76)</f>
        <v>0</v>
      </c>
      <c r="F75" s="60">
        <f t="shared" si="46"/>
        <v>0</v>
      </c>
      <c r="G75" s="60">
        <f t="shared" si="46"/>
        <v>164000</v>
      </c>
      <c r="H75" s="60">
        <f t="shared" si="46"/>
        <v>169620</v>
      </c>
      <c r="I75" s="60">
        <f t="shared" si="46"/>
        <v>170252.4</v>
      </c>
    </row>
    <row r="76" spans="2:9" x14ac:dyDescent="0.25">
      <c r="B76" s="38"/>
      <c r="C76" s="38">
        <v>683</v>
      </c>
      <c r="D76" s="51" t="s">
        <v>54</v>
      </c>
      <c r="E76" s="52">
        <f t="shared" ref="E76:F76" si="47">E77</f>
        <v>0</v>
      </c>
      <c r="F76" s="52">
        <f t="shared" si="47"/>
        <v>0</v>
      </c>
      <c r="G76" s="52">
        <f>G77</f>
        <v>164000</v>
      </c>
      <c r="H76" s="52">
        <f t="shared" ref="H76:I76" si="48">H77</f>
        <v>169620</v>
      </c>
      <c r="I76" s="52">
        <f t="shared" si="48"/>
        <v>170252.4</v>
      </c>
    </row>
    <row r="77" spans="2:9" x14ac:dyDescent="0.25">
      <c r="B77" s="38"/>
      <c r="C77" s="38">
        <v>6831</v>
      </c>
      <c r="D77" s="51" t="s">
        <v>54</v>
      </c>
      <c r="E77" s="52">
        <f>E78+E79+E80</f>
        <v>0</v>
      </c>
      <c r="F77" s="52">
        <f t="shared" ref="F77:I77" si="49">F78+F79+F80</f>
        <v>0</v>
      </c>
      <c r="G77" s="52">
        <f t="shared" si="49"/>
        <v>164000</v>
      </c>
      <c r="H77" s="52">
        <f t="shared" si="49"/>
        <v>169620</v>
      </c>
      <c r="I77" s="52">
        <f t="shared" si="49"/>
        <v>170252.4</v>
      </c>
    </row>
    <row r="78" spans="2:9" x14ac:dyDescent="0.25">
      <c r="B78" s="38"/>
      <c r="C78" s="54">
        <v>68311</v>
      </c>
      <c r="D78" s="61" t="s">
        <v>54</v>
      </c>
      <c r="E78" s="49">
        <f>'Prihodi po ek klas i izvorima'!E40+'Prihodi po ek klas i izvorima'!E65</f>
        <v>0</v>
      </c>
      <c r="F78" s="49">
        <f>'Prihodi po ek klas i izvorima'!F40+'Prihodi po ek klas i izvorima'!F65</f>
        <v>0</v>
      </c>
      <c r="G78" s="49">
        <f>'Prihodi po ek klas i izvorima'!G40+'Prihodi po ek klas i izvorima'!G65</f>
        <v>136000</v>
      </c>
      <c r="H78" s="49">
        <f>'Prihodi po ek klas i izvorima'!H40+'Prihodi po ek klas i izvorima'!H65</f>
        <v>141000</v>
      </c>
      <c r="I78" s="49">
        <f>'Prihodi po ek klas i izvorima'!I40+'Prihodi po ek klas i izvorima'!I65</f>
        <v>141000</v>
      </c>
    </row>
    <row r="79" spans="2:9" x14ac:dyDescent="0.25">
      <c r="B79" s="38"/>
      <c r="C79" s="54">
        <v>68312</v>
      </c>
      <c r="D79" s="61" t="s">
        <v>664</v>
      </c>
      <c r="E79" s="49">
        <f>'Prihodi po ek klas i izvorima'!E41</f>
        <v>0</v>
      </c>
      <c r="F79" s="49">
        <f>'Prihodi po ek klas i izvorima'!F41</f>
        <v>0</v>
      </c>
      <c r="G79" s="49">
        <f>'Prihodi po ek klas i izvorima'!G41</f>
        <v>3000</v>
      </c>
      <c r="H79" s="49">
        <f>'Prihodi po ek klas i izvorima'!H41</f>
        <v>3000</v>
      </c>
      <c r="I79" s="49">
        <f>'Prihodi po ek klas i izvorima'!I41</f>
        <v>3000</v>
      </c>
    </row>
    <row r="80" spans="2:9" x14ac:dyDescent="0.25">
      <c r="B80" s="38"/>
      <c r="C80" s="54">
        <v>68313</v>
      </c>
      <c r="D80" s="61" t="s">
        <v>669</v>
      </c>
      <c r="E80" s="49">
        <f>'Prihodi po ek klas i izvorima'!E42</f>
        <v>0</v>
      </c>
      <c r="F80" s="49">
        <f>'Prihodi po ek klas i izvorima'!F42</f>
        <v>0</v>
      </c>
      <c r="G80" s="49">
        <f>'Prihodi po ek klas i izvorima'!G42</f>
        <v>25000</v>
      </c>
      <c r="H80" s="49">
        <f>'Prihodi po ek klas i izvorima'!H42</f>
        <v>25620</v>
      </c>
      <c r="I80" s="49">
        <f>'Prihodi po ek klas i izvorima'!I42</f>
        <v>26252.400000000001</v>
      </c>
    </row>
    <row r="81" spans="2:9" x14ac:dyDescent="0.25">
      <c r="B81" s="35">
        <v>7</v>
      </c>
      <c r="C81" s="35"/>
      <c r="D81" s="67" t="s">
        <v>75</v>
      </c>
      <c r="E81" s="68">
        <f t="shared" ref="E81" si="50">SUM(E82)</f>
        <v>0</v>
      </c>
      <c r="F81" s="68">
        <f t="shared" ref="F81" si="51">SUM(F82)</f>
        <v>0</v>
      </c>
      <c r="G81" s="68">
        <f t="shared" ref="G81" si="52">SUM(G82)</f>
        <v>1300</v>
      </c>
      <c r="H81" s="68">
        <f t="shared" ref="H81" si="53">SUM(H82)</f>
        <v>0</v>
      </c>
      <c r="I81" s="68">
        <f t="shared" ref="I81" si="54">SUM(I82)</f>
        <v>0</v>
      </c>
    </row>
    <row r="82" spans="2:9" s="53" customFormat="1" ht="19.5" customHeight="1" x14ac:dyDescent="0.25">
      <c r="B82" s="38"/>
      <c r="C82" s="58">
        <v>72</v>
      </c>
      <c r="D82" s="69" t="s">
        <v>76</v>
      </c>
      <c r="E82" s="60">
        <f t="shared" ref="E82" si="55">SUM(E83,E86)</f>
        <v>0</v>
      </c>
      <c r="F82" s="60">
        <f t="shared" ref="F82" si="56">SUM(F83,F86)</f>
        <v>0</v>
      </c>
      <c r="G82" s="60">
        <f t="shared" ref="G82" si="57">SUM(G83,G86)</f>
        <v>1300</v>
      </c>
      <c r="H82" s="60">
        <f t="shared" ref="H82" si="58">SUM(H83,H86)</f>
        <v>0</v>
      </c>
      <c r="I82" s="60">
        <f t="shared" ref="I82" si="59">SUM(I83,I86)</f>
        <v>0</v>
      </c>
    </row>
    <row r="83" spans="2:9" x14ac:dyDescent="0.25">
      <c r="B83" s="38"/>
      <c r="C83" s="38">
        <v>721</v>
      </c>
      <c r="D83" s="51" t="s">
        <v>77</v>
      </c>
      <c r="E83" s="52">
        <f t="shared" ref="E83" si="60">E84</f>
        <v>0</v>
      </c>
      <c r="F83" s="52">
        <f t="shared" ref="F83:F84" si="61">F84</f>
        <v>0</v>
      </c>
      <c r="G83" s="52">
        <f t="shared" ref="G83:G84" si="62">G84</f>
        <v>1300</v>
      </c>
      <c r="H83" s="52">
        <f t="shared" ref="H83:H84" si="63">H84</f>
        <v>0</v>
      </c>
      <c r="I83" s="52">
        <f t="shared" ref="I83:I84" si="64">I84</f>
        <v>0</v>
      </c>
    </row>
    <row r="84" spans="2:9" x14ac:dyDescent="0.25">
      <c r="B84" s="38"/>
      <c r="C84" s="38">
        <v>7211</v>
      </c>
      <c r="D84" s="51" t="s">
        <v>78</v>
      </c>
      <c r="E84" s="52">
        <f>E85</f>
        <v>0</v>
      </c>
      <c r="F84" s="52">
        <f t="shared" si="61"/>
        <v>0</v>
      </c>
      <c r="G84" s="52">
        <f t="shared" si="62"/>
        <v>1300</v>
      </c>
      <c r="H84" s="52">
        <f t="shared" si="63"/>
        <v>0</v>
      </c>
      <c r="I84" s="52">
        <f t="shared" si="64"/>
        <v>0</v>
      </c>
    </row>
    <row r="85" spans="2:9" x14ac:dyDescent="0.25">
      <c r="B85" s="54"/>
      <c r="C85" s="54">
        <v>72111</v>
      </c>
      <c r="D85" s="61" t="s">
        <v>655</v>
      </c>
      <c r="E85" s="49">
        <f>'Prihodi po ek klas i izvorima'!E116</f>
        <v>0</v>
      </c>
      <c r="F85" s="49">
        <f>'Prihodi po ek klas i izvorima'!F116</f>
        <v>0</v>
      </c>
      <c r="G85" s="49">
        <f>'Prihodi po ek klas i izvorima'!G116</f>
        <v>1300</v>
      </c>
      <c r="H85" s="49">
        <f>'Prihodi po ek klas i izvorima'!H116</f>
        <v>0</v>
      </c>
      <c r="I85" s="49">
        <f>'Prihodi po ek klas i izvorima'!I116</f>
        <v>0</v>
      </c>
    </row>
    <row r="86" spans="2:9" s="42" customFormat="1" hidden="1" x14ac:dyDescent="0.25">
      <c r="B86" s="38"/>
      <c r="C86" s="38">
        <v>723</v>
      </c>
      <c r="D86" s="51" t="s">
        <v>79</v>
      </c>
      <c r="E86" s="52">
        <f t="shared" ref="E86" si="65">E87</f>
        <v>0</v>
      </c>
      <c r="F86" s="52">
        <f t="shared" ref="F86" si="66">F87</f>
        <v>0</v>
      </c>
      <c r="G86" s="52">
        <f t="shared" ref="G86" si="67">G87</f>
        <v>0</v>
      </c>
      <c r="H86" s="52">
        <f t="shared" ref="H86" si="68">H87</f>
        <v>0</v>
      </c>
      <c r="I86" s="52">
        <f t="shared" ref="I86" si="69">I87</f>
        <v>0</v>
      </c>
    </row>
    <row r="87" spans="2:9" hidden="1" x14ac:dyDescent="0.25">
      <c r="B87" s="38"/>
      <c r="C87" s="38">
        <v>7231</v>
      </c>
      <c r="D87" s="51" t="s">
        <v>80</v>
      </c>
      <c r="E87" s="52">
        <f>'Prihodi po ek klas i izvorima'!E118</f>
        <v>0</v>
      </c>
      <c r="F87" s="52">
        <f>'Prihodi po ek klas i izvorima'!F118</f>
        <v>0</v>
      </c>
      <c r="G87" s="52">
        <f>'Prihodi po ek klas i izvorima'!G118</f>
        <v>0</v>
      </c>
      <c r="H87" s="52">
        <f>'Prihodi po ek klas i izvorima'!H118</f>
        <v>0</v>
      </c>
      <c r="I87" s="52">
        <f>'Prihodi po ek klas i izvorima'!I118</f>
        <v>0</v>
      </c>
    </row>
    <row r="88" spans="2:9" x14ac:dyDescent="0.25">
      <c r="B88" s="561" t="s">
        <v>262</v>
      </c>
      <c r="C88" s="562"/>
      <c r="D88" s="563"/>
      <c r="E88" s="71" t="e">
        <f>E10+E81</f>
        <v>#REF!</v>
      </c>
      <c r="F88" s="71" t="e">
        <f>F10+F81</f>
        <v>#REF!</v>
      </c>
      <c r="G88" s="71">
        <f>G10+G81</f>
        <v>27400996.079999998</v>
      </c>
      <c r="H88" s="71">
        <f>H10+H81</f>
        <v>28076192.190000001</v>
      </c>
      <c r="I88" s="71">
        <f>I10+I81</f>
        <v>28547127.919999998</v>
      </c>
    </row>
  </sheetData>
  <mergeCells count="6">
    <mergeCell ref="B88:D88"/>
    <mergeCell ref="B2:I2"/>
    <mergeCell ref="B4:I4"/>
    <mergeCell ref="B6:I6"/>
    <mergeCell ref="C7:I7"/>
    <mergeCell ref="B8:I8"/>
  </mergeCells>
  <pageMargins left="0.74803149606299213" right="0.74803149606299213" top="0.98425196850393704" bottom="0.98425196850393704" header="0.51181102362204722" footer="0.51181102362204722"/>
  <pageSetup paperSize="9" scale="6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84"/>
  <sheetViews>
    <sheetView workbookViewId="0">
      <selection activeCell="F271" sqref="F271:H271"/>
    </sheetView>
  </sheetViews>
  <sheetFormatPr defaultRowHeight="15.75" x14ac:dyDescent="0.25"/>
  <cols>
    <col min="1" max="1" width="9.140625" style="75" customWidth="1"/>
    <col min="2" max="2" width="9.140625" style="92" customWidth="1"/>
    <col min="3" max="3" width="65.28515625" style="92" customWidth="1"/>
    <col min="4" max="5" width="21.140625" style="92" hidden="1" customWidth="1"/>
    <col min="6" max="6" width="20.140625" style="93" bestFit="1" customWidth="1"/>
    <col min="7" max="7" width="19.28515625" style="92" bestFit="1" customWidth="1"/>
    <col min="8" max="8" width="18.85546875" style="92" bestFit="1" customWidth="1"/>
    <col min="9" max="256" width="9.140625" style="74"/>
    <col min="257" max="257" width="55.28515625" style="74" bestFit="1" customWidth="1"/>
    <col min="258" max="258" width="0" style="74" hidden="1" customWidth="1"/>
    <col min="259" max="259" width="21.85546875" style="74" bestFit="1" customWidth="1"/>
    <col min="260" max="260" width="0" style="74" hidden="1" customWidth="1"/>
    <col min="261" max="261" width="21.42578125" style="74" customWidth="1"/>
    <col min="262" max="262" width="10" style="74" bestFit="1" customWidth="1"/>
    <col min="263" max="263" width="0" style="74" hidden="1" customWidth="1"/>
    <col min="264" max="512" width="9.140625" style="74"/>
    <col min="513" max="513" width="55.28515625" style="74" bestFit="1" customWidth="1"/>
    <col min="514" max="514" width="0" style="74" hidden="1" customWidth="1"/>
    <col min="515" max="515" width="21.85546875" style="74" bestFit="1" customWidth="1"/>
    <col min="516" max="516" width="0" style="74" hidden="1" customWidth="1"/>
    <col min="517" max="517" width="21.42578125" style="74" customWidth="1"/>
    <col min="518" max="518" width="10" style="74" bestFit="1" customWidth="1"/>
    <col min="519" max="519" width="0" style="74" hidden="1" customWidth="1"/>
    <col min="520" max="768" width="9.140625" style="74"/>
    <col min="769" max="769" width="55.28515625" style="74" bestFit="1" customWidth="1"/>
    <col min="770" max="770" width="0" style="74" hidden="1" customWidth="1"/>
    <col min="771" max="771" width="21.85546875" style="74" bestFit="1" customWidth="1"/>
    <col min="772" max="772" width="0" style="74" hidden="1" customWidth="1"/>
    <col min="773" max="773" width="21.42578125" style="74" customWidth="1"/>
    <col min="774" max="774" width="10" style="74" bestFit="1" customWidth="1"/>
    <col min="775" max="775" width="0" style="74" hidden="1" customWidth="1"/>
    <col min="776" max="1024" width="9.140625" style="74"/>
    <col min="1025" max="1025" width="55.28515625" style="74" bestFit="1" customWidth="1"/>
    <col min="1026" max="1026" width="0" style="74" hidden="1" customWidth="1"/>
    <col min="1027" max="1027" width="21.85546875" style="74" bestFit="1" customWidth="1"/>
    <col min="1028" max="1028" width="0" style="74" hidden="1" customWidth="1"/>
    <col min="1029" max="1029" width="21.42578125" style="74" customWidth="1"/>
    <col min="1030" max="1030" width="10" style="74" bestFit="1" customWidth="1"/>
    <col min="1031" max="1031" width="0" style="74" hidden="1" customWidth="1"/>
    <col min="1032" max="1280" width="9.140625" style="74"/>
    <col min="1281" max="1281" width="55.28515625" style="74" bestFit="1" customWidth="1"/>
    <col min="1282" max="1282" width="0" style="74" hidden="1" customWidth="1"/>
    <col min="1283" max="1283" width="21.85546875" style="74" bestFit="1" customWidth="1"/>
    <col min="1284" max="1284" width="0" style="74" hidden="1" customWidth="1"/>
    <col min="1285" max="1285" width="21.42578125" style="74" customWidth="1"/>
    <col min="1286" max="1286" width="10" style="74" bestFit="1" customWidth="1"/>
    <col min="1287" max="1287" width="0" style="74" hidden="1" customWidth="1"/>
    <col min="1288" max="1536" width="9.140625" style="74"/>
    <col min="1537" max="1537" width="55.28515625" style="74" bestFit="1" customWidth="1"/>
    <col min="1538" max="1538" width="0" style="74" hidden="1" customWidth="1"/>
    <col min="1539" max="1539" width="21.85546875" style="74" bestFit="1" customWidth="1"/>
    <col min="1540" max="1540" width="0" style="74" hidden="1" customWidth="1"/>
    <col min="1541" max="1541" width="21.42578125" style="74" customWidth="1"/>
    <col min="1542" max="1542" width="10" style="74" bestFit="1" customWidth="1"/>
    <col min="1543" max="1543" width="0" style="74" hidden="1" customWidth="1"/>
    <col min="1544" max="1792" width="9.140625" style="74"/>
    <col min="1793" max="1793" width="55.28515625" style="74" bestFit="1" customWidth="1"/>
    <col min="1794" max="1794" width="0" style="74" hidden="1" customWidth="1"/>
    <col min="1795" max="1795" width="21.85546875" style="74" bestFit="1" customWidth="1"/>
    <col min="1796" max="1796" width="0" style="74" hidden="1" customWidth="1"/>
    <col min="1797" max="1797" width="21.42578125" style="74" customWidth="1"/>
    <col min="1798" max="1798" width="10" style="74" bestFit="1" customWidth="1"/>
    <col min="1799" max="1799" width="0" style="74" hidden="1" customWidth="1"/>
    <col min="1800" max="2048" width="9.140625" style="74"/>
    <col min="2049" max="2049" width="55.28515625" style="74" bestFit="1" customWidth="1"/>
    <col min="2050" max="2050" width="0" style="74" hidden="1" customWidth="1"/>
    <col min="2051" max="2051" width="21.85546875" style="74" bestFit="1" customWidth="1"/>
    <col min="2052" max="2052" width="0" style="74" hidden="1" customWidth="1"/>
    <col min="2053" max="2053" width="21.42578125" style="74" customWidth="1"/>
    <col min="2054" max="2054" width="10" style="74" bestFit="1" customWidth="1"/>
    <col min="2055" max="2055" width="0" style="74" hidden="1" customWidth="1"/>
    <col min="2056" max="2304" width="9.140625" style="74"/>
    <col min="2305" max="2305" width="55.28515625" style="74" bestFit="1" customWidth="1"/>
    <col min="2306" max="2306" width="0" style="74" hidden="1" customWidth="1"/>
    <col min="2307" max="2307" width="21.85546875" style="74" bestFit="1" customWidth="1"/>
    <col min="2308" max="2308" width="0" style="74" hidden="1" customWidth="1"/>
    <col min="2309" max="2309" width="21.42578125" style="74" customWidth="1"/>
    <col min="2310" max="2310" width="10" style="74" bestFit="1" customWidth="1"/>
    <col min="2311" max="2311" width="0" style="74" hidden="1" customWidth="1"/>
    <col min="2312" max="2560" width="9.140625" style="74"/>
    <col min="2561" max="2561" width="55.28515625" style="74" bestFit="1" customWidth="1"/>
    <col min="2562" max="2562" width="0" style="74" hidden="1" customWidth="1"/>
    <col min="2563" max="2563" width="21.85546875" style="74" bestFit="1" customWidth="1"/>
    <col min="2564" max="2564" width="0" style="74" hidden="1" customWidth="1"/>
    <col min="2565" max="2565" width="21.42578125" style="74" customWidth="1"/>
    <col min="2566" max="2566" width="10" style="74" bestFit="1" customWidth="1"/>
    <col min="2567" max="2567" width="0" style="74" hidden="1" customWidth="1"/>
    <col min="2568" max="2816" width="9.140625" style="74"/>
    <col min="2817" max="2817" width="55.28515625" style="74" bestFit="1" customWidth="1"/>
    <col min="2818" max="2818" width="0" style="74" hidden="1" customWidth="1"/>
    <col min="2819" max="2819" width="21.85546875" style="74" bestFit="1" customWidth="1"/>
    <col min="2820" max="2820" width="0" style="74" hidden="1" customWidth="1"/>
    <col min="2821" max="2821" width="21.42578125" style="74" customWidth="1"/>
    <col min="2822" max="2822" width="10" style="74" bestFit="1" customWidth="1"/>
    <col min="2823" max="2823" width="0" style="74" hidden="1" customWidth="1"/>
    <col min="2824" max="3072" width="9.140625" style="74"/>
    <col min="3073" max="3073" width="55.28515625" style="74" bestFit="1" customWidth="1"/>
    <col min="3074" max="3074" width="0" style="74" hidden="1" customWidth="1"/>
    <col min="3075" max="3075" width="21.85546875" style="74" bestFit="1" customWidth="1"/>
    <col min="3076" max="3076" width="0" style="74" hidden="1" customWidth="1"/>
    <col min="3077" max="3077" width="21.42578125" style="74" customWidth="1"/>
    <col min="3078" max="3078" width="10" style="74" bestFit="1" customWidth="1"/>
    <col min="3079" max="3079" width="0" style="74" hidden="1" customWidth="1"/>
    <col min="3080" max="3328" width="9.140625" style="74"/>
    <col min="3329" max="3329" width="55.28515625" style="74" bestFit="1" customWidth="1"/>
    <col min="3330" max="3330" width="0" style="74" hidden="1" customWidth="1"/>
    <col min="3331" max="3331" width="21.85546875" style="74" bestFit="1" customWidth="1"/>
    <col min="3332" max="3332" width="0" style="74" hidden="1" customWidth="1"/>
    <col min="3333" max="3333" width="21.42578125" style="74" customWidth="1"/>
    <col min="3334" max="3334" width="10" style="74" bestFit="1" customWidth="1"/>
    <col min="3335" max="3335" width="0" style="74" hidden="1" customWidth="1"/>
    <col min="3336" max="3584" width="9.140625" style="74"/>
    <col min="3585" max="3585" width="55.28515625" style="74" bestFit="1" customWidth="1"/>
    <col min="3586" max="3586" width="0" style="74" hidden="1" customWidth="1"/>
    <col min="3587" max="3587" width="21.85546875" style="74" bestFit="1" customWidth="1"/>
    <col min="3588" max="3588" width="0" style="74" hidden="1" customWidth="1"/>
    <col min="3589" max="3589" width="21.42578125" style="74" customWidth="1"/>
    <col min="3590" max="3590" width="10" style="74" bestFit="1" customWidth="1"/>
    <col min="3591" max="3591" width="0" style="74" hidden="1" customWidth="1"/>
    <col min="3592" max="3840" width="9.140625" style="74"/>
    <col min="3841" max="3841" width="55.28515625" style="74" bestFit="1" customWidth="1"/>
    <col min="3842" max="3842" width="0" style="74" hidden="1" customWidth="1"/>
    <col min="3843" max="3843" width="21.85546875" style="74" bestFit="1" customWidth="1"/>
    <col min="3844" max="3844" width="0" style="74" hidden="1" customWidth="1"/>
    <col min="3845" max="3845" width="21.42578125" style="74" customWidth="1"/>
    <col min="3846" max="3846" width="10" style="74" bestFit="1" customWidth="1"/>
    <col min="3847" max="3847" width="0" style="74" hidden="1" customWidth="1"/>
    <col min="3848" max="4096" width="9.140625" style="74"/>
    <col min="4097" max="4097" width="55.28515625" style="74" bestFit="1" customWidth="1"/>
    <col min="4098" max="4098" width="0" style="74" hidden="1" customWidth="1"/>
    <col min="4099" max="4099" width="21.85546875" style="74" bestFit="1" customWidth="1"/>
    <col min="4100" max="4100" width="0" style="74" hidden="1" customWidth="1"/>
    <col min="4101" max="4101" width="21.42578125" style="74" customWidth="1"/>
    <col min="4102" max="4102" width="10" style="74" bestFit="1" customWidth="1"/>
    <col min="4103" max="4103" width="0" style="74" hidden="1" customWidth="1"/>
    <col min="4104" max="4352" width="9.140625" style="74"/>
    <col min="4353" max="4353" width="55.28515625" style="74" bestFit="1" customWidth="1"/>
    <col min="4354" max="4354" width="0" style="74" hidden="1" customWidth="1"/>
    <col min="4355" max="4355" width="21.85546875" style="74" bestFit="1" customWidth="1"/>
    <col min="4356" max="4356" width="0" style="74" hidden="1" customWidth="1"/>
    <col min="4357" max="4357" width="21.42578125" style="74" customWidth="1"/>
    <col min="4358" max="4358" width="10" style="74" bestFit="1" customWidth="1"/>
    <col min="4359" max="4359" width="0" style="74" hidden="1" customWidth="1"/>
    <col min="4360" max="4608" width="9.140625" style="74"/>
    <col min="4609" max="4609" width="55.28515625" style="74" bestFit="1" customWidth="1"/>
    <col min="4610" max="4610" width="0" style="74" hidden="1" customWidth="1"/>
    <col min="4611" max="4611" width="21.85546875" style="74" bestFit="1" customWidth="1"/>
    <col min="4612" max="4612" width="0" style="74" hidden="1" customWidth="1"/>
    <col min="4613" max="4613" width="21.42578125" style="74" customWidth="1"/>
    <col min="4614" max="4614" width="10" style="74" bestFit="1" customWidth="1"/>
    <col min="4615" max="4615" width="0" style="74" hidden="1" customWidth="1"/>
    <col min="4616" max="4864" width="9.140625" style="74"/>
    <col min="4865" max="4865" width="55.28515625" style="74" bestFit="1" customWidth="1"/>
    <col min="4866" max="4866" width="0" style="74" hidden="1" customWidth="1"/>
    <col min="4867" max="4867" width="21.85546875" style="74" bestFit="1" customWidth="1"/>
    <col min="4868" max="4868" width="0" style="74" hidden="1" customWidth="1"/>
    <col min="4869" max="4869" width="21.42578125" style="74" customWidth="1"/>
    <col min="4870" max="4870" width="10" style="74" bestFit="1" customWidth="1"/>
    <col min="4871" max="4871" width="0" style="74" hidden="1" customWidth="1"/>
    <col min="4872" max="5120" width="9.140625" style="74"/>
    <col min="5121" max="5121" width="55.28515625" style="74" bestFit="1" customWidth="1"/>
    <col min="5122" max="5122" width="0" style="74" hidden="1" customWidth="1"/>
    <col min="5123" max="5123" width="21.85546875" style="74" bestFit="1" customWidth="1"/>
    <col min="5124" max="5124" width="0" style="74" hidden="1" customWidth="1"/>
    <col min="5125" max="5125" width="21.42578125" style="74" customWidth="1"/>
    <col min="5126" max="5126" width="10" style="74" bestFit="1" customWidth="1"/>
    <col min="5127" max="5127" width="0" style="74" hidden="1" customWidth="1"/>
    <col min="5128" max="5376" width="9.140625" style="74"/>
    <col min="5377" max="5377" width="55.28515625" style="74" bestFit="1" customWidth="1"/>
    <col min="5378" max="5378" width="0" style="74" hidden="1" customWidth="1"/>
    <col min="5379" max="5379" width="21.85546875" style="74" bestFit="1" customWidth="1"/>
    <col min="5380" max="5380" width="0" style="74" hidden="1" customWidth="1"/>
    <col min="5381" max="5381" width="21.42578125" style="74" customWidth="1"/>
    <col min="5382" max="5382" width="10" style="74" bestFit="1" customWidth="1"/>
    <col min="5383" max="5383" width="0" style="74" hidden="1" customWidth="1"/>
    <col min="5384" max="5632" width="9.140625" style="74"/>
    <col min="5633" max="5633" width="55.28515625" style="74" bestFit="1" customWidth="1"/>
    <col min="5634" max="5634" width="0" style="74" hidden="1" customWidth="1"/>
    <col min="5635" max="5635" width="21.85546875" style="74" bestFit="1" customWidth="1"/>
    <col min="5636" max="5636" width="0" style="74" hidden="1" customWidth="1"/>
    <col min="5637" max="5637" width="21.42578125" style="74" customWidth="1"/>
    <col min="5638" max="5638" width="10" style="74" bestFit="1" customWidth="1"/>
    <col min="5639" max="5639" width="0" style="74" hidden="1" customWidth="1"/>
    <col min="5640" max="5888" width="9.140625" style="74"/>
    <col min="5889" max="5889" width="55.28515625" style="74" bestFit="1" customWidth="1"/>
    <col min="5890" max="5890" width="0" style="74" hidden="1" customWidth="1"/>
    <col min="5891" max="5891" width="21.85546875" style="74" bestFit="1" customWidth="1"/>
    <col min="5892" max="5892" width="0" style="74" hidden="1" customWidth="1"/>
    <col min="5893" max="5893" width="21.42578125" style="74" customWidth="1"/>
    <col min="5894" max="5894" width="10" style="74" bestFit="1" customWidth="1"/>
    <col min="5895" max="5895" width="0" style="74" hidden="1" customWidth="1"/>
    <col min="5896" max="6144" width="9.140625" style="74"/>
    <col min="6145" max="6145" width="55.28515625" style="74" bestFit="1" customWidth="1"/>
    <col min="6146" max="6146" width="0" style="74" hidden="1" customWidth="1"/>
    <col min="6147" max="6147" width="21.85546875" style="74" bestFit="1" customWidth="1"/>
    <col min="6148" max="6148" width="0" style="74" hidden="1" customWidth="1"/>
    <col min="6149" max="6149" width="21.42578125" style="74" customWidth="1"/>
    <col min="6150" max="6150" width="10" style="74" bestFit="1" customWidth="1"/>
    <col min="6151" max="6151" width="0" style="74" hidden="1" customWidth="1"/>
    <col min="6152" max="6400" width="9.140625" style="74"/>
    <col min="6401" max="6401" width="55.28515625" style="74" bestFit="1" customWidth="1"/>
    <col min="6402" max="6402" width="0" style="74" hidden="1" customWidth="1"/>
    <col min="6403" max="6403" width="21.85546875" style="74" bestFit="1" customWidth="1"/>
    <col min="6404" max="6404" width="0" style="74" hidden="1" customWidth="1"/>
    <col min="6405" max="6405" width="21.42578125" style="74" customWidth="1"/>
    <col min="6406" max="6406" width="10" style="74" bestFit="1" customWidth="1"/>
    <col min="6407" max="6407" width="0" style="74" hidden="1" customWidth="1"/>
    <col min="6408" max="6656" width="9.140625" style="74"/>
    <col min="6657" max="6657" width="55.28515625" style="74" bestFit="1" customWidth="1"/>
    <col min="6658" max="6658" width="0" style="74" hidden="1" customWidth="1"/>
    <col min="6659" max="6659" width="21.85546875" style="74" bestFit="1" customWidth="1"/>
    <col min="6660" max="6660" width="0" style="74" hidden="1" customWidth="1"/>
    <col min="6661" max="6661" width="21.42578125" style="74" customWidth="1"/>
    <col min="6662" max="6662" width="10" style="74" bestFit="1" customWidth="1"/>
    <col min="6663" max="6663" width="0" style="74" hidden="1" customWidth="1"/>
    <col min="6664" max="6912" width="9.140625" style="74"/>
    <col min="6913" max="6913" width="55.28515625" style="74" bestFit="1" customWidth="1"/>
    <col min="6914" max="6914" width="0" style="74" hidden="1" customWidth="1"/>
    <col min="6915" max="6915" width="21.85546875" style="74" bestFit="1" customWidth="1"/>
    <col min="6916" max="6916" width="0" style="74" hidden="1" customWidth="1"/>
    <col min="6917" max="6917" width="21.42578125" style="74" customWidth="1"/>
    <col min="6918" max="6918" width="10" style="74" bestFit="1" customWidth="1"/>
    <col min="6919" max="6919" width="0" style="74" hidden="1" customWidth="1"/>
    <col min="6920" max="7168" width="9.140625" style="74"/>
    <col min="7169" max="7169" width="55.28515625" style="74" bestFit="1" customWidth="1"/>
    <col min="7170" max="7170" width="0" style="74" hidden="1" customWidth="1"/>
    <col min="7171" max="7171" width="21.85546875" style="74" bestFit="1" customWidth="1"/>
    <col min="7172" max="7172" width="0" style="74" hidden="1" customWidth="1"/>
    <col min="7173" max="7173" width="21.42578125" style="74" customWidth="1"/>
    <col min="7174" max="7174" width="10" style="74" bestFit="1" customWidth="1"/>
    <col min="7175" max="7175" width="0" style="74" hidden="1" customWidth="1"/>
    <col min="7176" max="7424" width="9.140625" style="74"/>
    <col min="7425" max="7425" width="55.28515625" style="74" bestFit="1" customWidth="1"/>
    <col min="7426" max="7426" width="0" style="74" hidden="1" customWidth="1"/>
    <col min="7427" max="7427" width="21.85546875" style="74" bestFit="1" customWidth="1"/>
    <col min="7428" max="7428" width="0" style="74" hidden="1" customWidth="1"/>
    <col min="7429" max="7429" width="21.42578125" style="74" customWidth="1"/>
    <col min="7430" max="7430" width="10" style="74" bestFit="1" customWidth="1"/>
    <col min="7431" max="7431" width="0" style="74" hidden="1" customWidth="1"/>
    <col min="7432" max="7680" width="9.140625" style="74"/>
    <col min="7681" max="7681" width="55.28515625" style="74" bestFit="1" customWidth="1"/>
    <col min="7682" max="7682" width="0" style="74" hidden="1" customWidth="1"/>
    <col min="7683" max="7683" width="21.85546875" style="74" bestFit="1" customWidth="1"/>
    <col min="7684" max="7684" width="0" style="74" hidden="1" customWidth="1"/>
    <col min="7685" max="7685" width="21.42578125" style="74" customWidth="1"/>
    <col min="7686" max="7686" width="10" style="74" bestFit="1" customWidth="1"/>
    <col min="7687" max="7687" width="0" style="74" hidden="1" customWidth="1"/>
    <col min="7688" max="7936" width="9.140625" style="74"/>
    <col min="7937" max="7937" width="55.28515625" style="74" bestFit="1" customWidth="1"/>
    <col min="7938" max="7938" width="0" style="74" hidden="1" customWidth="1"/>
    <col min="7939" max="7939" width="21.85546875" style="74" bestFit="1" customWidth="1"/>
    <col min="7940" max="7940" width="0" style="74" hidden="1" customWidth="1"/>
    <col min="7941" max="7941" width="21.42578125" style="74" customWidth="1"/>
    <col min="7942" max="7942" width="10" style="74" bestFit="1" customWidth="1"/>
    <col min="7943" max="7943" width="0" style="74" hidden="1" customWidth="1"/>
    <col min="7944" max="8192" width="9.140625" style="74"/>
    <col min="8193" max="8193" width="55.28515625" style="74" bestFit="1" customWidth="1"/>
    <col min="8194" max="8194" width="0" style="74" hidden="1" customWidth="1"/>
    <col min="8195" max="8195" width="21.85546875" style="74" bestFit="1" customWidth="1"/>
    <col min="8196" max="8196" width="0" style="74" hidden="1" customWidth="1"/>
    <col min="8197" max="8197" width="21.42578125" style="74" customWidth="1"/>
    <col min="8198" max="8198" width="10" style="74" bestFit="1" customWidth="1"/>
    <col min="8199" max="8199" width="0" style="74" hidden="1" customWidth="1"/>
    <col min="8200" max="8448" width="9.140625" style="74"/>
    <col min="8449" max="8449" width="55.28515625" style="74" bestFit="1" customWidth="1"/>
    <col min="8450" max="8450" width="0" style="74" hidden="1" customWidth="1"/>
    <col min="8451" max="8451" width="21.85546875" style="74" bestFit="1" customWidth="1"/>
    <col min="8452" max="8452" width="0" style="74" hidden="1" customWidth="1"/>
    <col min="8453" max="8453" width="21.42578125" style="74" customWidth="1"/>
    <col min="8454" max="8454" width="10" style="74" bestFit="1" customWidth="1"/>
    <col min="8455" max="8455" width="0" style="74" hidden="1" customWidth="1"/>
    <col min="8456" max="8704" width="9.140625" style="74"/>
    <col min="8705" max="8705" width="55.28515625" style="74" bestFit="1" customWidth="1"/>
    <col min="8706" max="8706" width="0" style="74" hidden="1" customWidth="1"/>
    <col min="8707" max="8707" width="21.85546875" style="74" bestFit="1" customWidth="1"/>
    <col min="8708" max="8708" width="0" style="74" hidden="1" customWidth="1"/>
    <col min="8709" max="8709" width="21.42578125" style="74" customWidth="1"/>
    <col min="8710" max="8710" width="10" style="74" bestFit="1" customWidth="1"/>
    <col min="8711" max="8711" width="0" style="74" hidden="1" customWidth="1"/>
    <col min="8712" max="8960" width="9.140625" style="74"/>
    <col min="8961" max="8961" width="55.28515625" style="74" bestFit="1" customWidth="1"/>
    <col min="8962" max="8962" width="0" style="74" hidden="1" customWidth="1"/>
    <col min="8963" max="8963" width="21.85546875" style="74" bestFit="1" customWidth="1"/>
    <col min="8964" max="8964" width="0" style="74" hidden="1" customWidth="1"/>
    <col min="8965" max="8965" width="21.42578125" style="74" customWidth="1"/>
    <col min="8966" max="8966" width="10" style="74" bestFit="1" customWidth="1"/>
    <col min="8967" max="8967" width="0" style="74" hidden="1" customWidth="1"/>
    <col min="8968" max="9216" width="9.140625" style="74"/>
    <col min="9217" max="9217" width="55.28515625" style="74" bestFit="1" customWidth="1"/>
    <col min="9218" max="9218" width="0" style="74" hidden="1" customWidth="1"/>
    <col min="9219" max="9219" width="21.85546875" style="74" bestFit="1" customWidth="1"/>
    <col min="9220" max="9220" width="0" style="74" hidden="1" customWidth="1"/>
    <col min="9221" max="9221" width="21.42578125" style="74" customWidth="1"/>
    <col min="9222" max="9222" width="10" style="74" bestFit="1" customWidth="1"/>
    <col min="9223" max="9223" width="0" style="74" hidden="1" customWidth="1"/>
    <col min="9224" max="9472" width="9.140625" style="74"/>
    <col min="9473" max="9473" width="55.28515625" style="74" bestFit="1" customWidth="1"/>
    <col min="9474" max="9474" width="0" style="74" hidden="1" customWidth="1"/>
    <col min="9475" max="9475" width="21.85546875" style="74" bestFit="1" customWidth="1"/>
    <col min="9476" max="9476" width="0" style="74" hidden="1" customWidth="1"/>
    <col min="9477" max="9477" width="21.42578125" style="74" customWidth="1"/>
    <col min="9478" max="9478" width="10" style="74" bestFit="1" customWidth="1"/>
    <col min="9479" max="9479" width="0" style="74" hidden="1" customWidth="1"/>
    <col min="9480" max="9728" width="9.140625" style="74"/>
    <col min="9729" max="9729" width="55.28515625" style="74" bestFit="1" customWidth="1"/>
    <col min="9730" max="9730" width="0" style="74" hidden="1" customWidth="1"/>
    <col min="9731" max="9731" width="21.85546875" style="74" bestFit="1" customWidth="1"/>
    <col min="9732" max="9732" width="0" style="74" hidden="1" customWidth="1"/>
    <col min="9733" max="9733" width="21.42578125" style="74" customWidth="1"/>
    <col min="9734" max="9734" width="10" style="74" bestFit="1" customWidth="1"/>
    <col min="9735" max="9735" width="0" style="74" hidden="1" customWidth="1"/>
    <col min="9736" max="9984" width="9.140625" style="74"/>
    <col min="9985" max="9985" width="55.28515625" style="74" bestFit="1" customWidth="1"/>
    <col min="9986" max="9986" width="0" style="74" hidden="1" customWidth="1"/>
    <col min="9987" max="9987" width="21.85546875" style="74" bestFit="1" customWidth="1"/>
    <col min="9988" max="9988" width="0" style="74" hidden="1" customWidth="1"/>
    <col min="9989" max="9989" width="21.42578125" style="74" customWidth="1"/>
    <col min="9990" max="9990" width="10" style="74" bestFit="1" customWidth="1"/>
    <col min="9991" max="9991" width="0" style="74" hidden="1" customWidth="1"/>
    <col min="9992" max="10240" width="9.140625" style="74"/>
    <col min="10241" max="10241" width="55.28515625" style="74" bestFit="1" customWidth="1"/>
    <col min="10242" max="10242" width="0" style="74" hidden="1" customWidth="1"/>
    <col min="10243" max="10243" width="21.85546875" style="74" bestFit="1" customWidth="1"/>
    <col min="10244" max="10244" width="0" style="74" hidden="1" customWidth="1"/>
    <col min="10245" max="10245" width="21.42578125" style="74" customWidth="1"/>
    <col min="10246" max="10246" width="10" style="74" bestFit="1" customWidth="1"/>
    <col min="10247" max="10247" width="0" style="74" hidden="1" customWidth="1"/>
    <col min="10248" max="10496" width="9.140625" style="74"/>
    <col min="10497" max="10497" width="55.28515625" style="74" bestFit="1" customWidth="1"/>
    <col min="10498" max="10498" width="0" style="74" hidden="1" customWidth="1"/>
    <col min="10499" max="10499" width="21.85546875" style="74" bestFit="1" customWidth="1"/>
    <col min="10500" max="10500" width="0" style="74" hidden="1" customWidth="1"/>
    <col min="10501" max="10501" width="21.42578125" style="74" customWidth="1"/>
    <col min="10502" max="10502" width="10" style="74" bestFit="1" customWidth="1"/>
    <col min="10503" max="10503" width="0" style="74" hidden="1" customWidth="1"/>
    <col min="10504" max="10752" width="9.140625" style="74"/>
    <col min="10753" max="10753" width="55.28515625" style="74" bestFit="1" customWidth="1"/>
    <col min="10754" max="10754" width="0" style="74" hidden="1" customWidth="1"/>
    <col min="10755" max="10755" width="21.85546875" style="74" bestFit="1" customWidth="1"/>
    <col min="10756" max="10756" width="0" style="74" hidden="1" customWidth="1"/>
    <col min="10757" max="10757" width="21.42578125" style="74" customWidth="1"/>
    <col min="10758" max="10758" width="10" style="74" bestFit="1" customWidth="1"/>
    <col min="10759" max="10759" width="0" style="74" hidden="1" customWidth="1"/>
    <col min="10760" max="11008" width="9.140625" style="74"/>
    <col min="11009" max="11009" width="55.28515625" style="74" bestFit="1" customWidth="1"/>
    <col min="11010" max="11010" width="0" style="74" hidden="1" customWidth="1"/>
    <col min="11011" max="11011" width="21.85546875" style="74" bestFit="1" customWidth="1"/>
    <col min="11012" max="11012" width="0" style="74" hidden="1" customWidth="1"/>
    <col min="11013" max="11013" width="21.42578125" style="74" customWidth="1"/>
    <col min="11014" max="11014" width="10" style="74" bestFit="1" customWidth="1"/>
    <col min="11015" max="11015" width="0" style="74" hidden="1" customWidth="1"/>
    <col min="11016" max="11264" width="9.140625" style="74"/>
    <col min="11265" max="11265" width="55.28515625" style="74" bestFit="1" customWidth="1"/>
    <col min="11266" max="11266" width="0" style="74" hidden="1" customWidth="1"/>
    <col min="11267" max="11267" width="21.85546875" style="74" bestFit="1" customWidth="1"/>
    <col min="11268" max="11268" width="0" style="74" hidden="1" customWidth="1"/>
    <col min="11269" max="11269" width="21.42578125" style="74" customWidth="1"/>
    <col min="11270" max="11270" width="10" style="74" bestFit="1" customWidth="1"/>
    <col min="11271" max="11271" width="0" style="74" hidden="1" customWidth="1"/>
    <col min="11272" max="11520" width="9.140625" style="74"/>
    <col min="11521" max="11521" width="55.28515625" style="74" bestFit="1" customWidth="1"/>
    <col min="11522" max="11522" width="0" style="74" hidden="1" customWidth="1"/>
    <col min="11523" max="11523" width="21.85546875" style="74" bestFit="1" customWidth="1"/>
    <col min="11524" max="11524" width="0" style="74" hidden="1" customWidth="1"/>
    <col min="11525" max="11525" width="21.42578125" style="74" customWidth="1"/>
    <col min="11526" max="11526" width="10" style="74" bestFit="1" customWidth="1"/>
    <col min="11527" max="11527" width="0" style="74" hidden="1" customWidth="1"/>
    <col min="11528" max="11776" width="9.140625" style="74"/>
    <col min="11777" max="11777" width="55.28515625" style="74" bestFit="1" customWidth="1"/>
    <col min="11778" max="11778" width="0" style="74" hidden="1" customWidth="1"/>
    <col min="11779" max="11779" width="21.85546875" style="74" bestFit="1" customWidth="1"/>
    <col min="11780" max="11780" width="0" style="74" hidden="1" customWidth="1"/>
    <col min="11781" max="11781" width="21.42578125" style="74" customWidth="1"/>
    <col min="11782" max="11782" width="10" style="74" bestFit="1" customWidth="1"/>
    <col min="11783" max="11783" width="0" style="74" hidden="1" customWidth="1"/>
    <col min="11784" max="12032" width="9.140625" style="74"/>
    <col min="12033" max="12033" width="55.28515625" style="74" bestFit="1" customWidth="1"/>
    <col min="12034" max="12034" width="0" style="74" hidden="1" customWidth="1"/>
    <col min="12035" max="12035" width="21.85546875" style="74" bestFit="1" customWidth="1"/>
    <col min="12036" max="12036" width="0" style="74" hidden="1" customWidth="1"/>
    <col min="12037" max="12037" width="21.42578125" style="74" customWidth="1"/>
    <col min="12038" max="12038" width="10" style="74" bestFit="1" customWidth="1"/>
    <col min="12039" max="12039" width="0" style="74" hidden="1" customWidth="1"/>
    <col min="12040" max="12288" width="9.140625" style="74"/>
    <col min="12289" max="12289" width="55.28515625" style="74" bestFit="1" customWidth="1"/>
    <col min="12290" max="12290" width="0" style="74" hidden="1" customWidth="1"/>
    <col min="12291" max="12291" width="21.85546875" style="74" bestFit="1" customWidth="1"/>
    <col min="12292" max="12292" width="0" style="74" hidden="1" customWidth="1"/>
    <col min="12293" max="12293" width="21.42578125" style="74" customWidth="1"/>
    <col min="12294" max="12294" width="10" style="74" bestFit="1" customWidth="1"/>
    <col min="12295" max="12295" width="0" style="74" hidden="1" customWidth="1"/>
    <col min="12296" max="12544" width="9.140625" style="74"/>
    <col min="12545" max="12545" width="55.28515625" style="74" bestFit="1" customWidth="1"/>
    <col min="12546" max="12546" width="0" style="74" hidden="1" customWidth="1"/>
    <col min="12547" max="12547" width="21.85546875" style="74" bestFit="1" customWidth="1"/>
    <col min="12548" max="12548" width="0" style="74" hidden="1" customWidth="1"/>
    <col min="12549" max="12549" width="21.42578125" style="74" customWidth="1"/>
    <col min="12550" max="12550" width="10" style="74" bestFit="1" customWidth="1"/>
    <col min="12551" max="12551" width="0" style="74" hidden="1" customWidth="1"/>
    <col min="12552" max="12800" width="9.140625" style="74"/>
    <col min="12801" max="12801" width="55.28515625" style="74" bestFit="1" customWidth="1"/>
    <col min="12802" max="12802" width="0" style="74" hidden="1" customWidth="1"/>
    <col min="12803" max="12803" width="21.85546875" style="74" bestFit="1" customWidth="1"/>
    <col min="12804" max="12804" width="0" style="74" hidden="1" customWidth="1"/>
    <col min="12805" max="12805" width="21.42578125" style="74" customWidth="1"/>
    <col min="12806" max="12806" width="10" style="74" bestFit="1" customWidth="1"/>
    <col min="12807" max="12807" width="0" style="74" hidden="1" customWidth="1"/>
    <col min="12808" max="13056" width="9.140625" style="74"/>
    <col min="13057" max="13057" width="55.28515625" style="74" bestFit="1" customWidth="1"/>
    <col min="13058" max="13058" width="0" style="74" hidden="1" customWidth="1"/>
    <col min="13059" max="13059" width="21.85546875" style="74" bestFit="1" customWidth="1"/>
    <col min="13060" max="13060" width="0" style="74" hidden="1" customWidth="1"/>
    <col min="13061" max="13061" width="21.42578125" style="74" customWidth="1"/>
    <col min="13062" max="13062" width="10" style="74" bestFit="1" customWidth="1"/>
    <col min="13063" max="13063" width="0" style="74" hidden="1" customWidth="1"/>
    <col min="13064" max="13312" width="9.140625" style="74"/>
    <col min="13313" max="13313" width="55.28515625" style="74" bestFit="1" customWidth="1"/>
    <col min="13314" max="13314" width="0" style="74" hidden="1" customWidth="1"/>
    <col min="13315" max="13315" width="21.85546875" style="74" bestFit="1" customWidth="1"/>
    <col min="13316" max="13316" width="0" style="74" hidden="1" customWidth="1"/>
    <col min="13317" max="13317" width="21.42578125" style="74" customWidth="1"/>
    <col min="13318" max="13318" width="10" style="74" bestFit="1" customWidth="1"/>
    <col min="13319" max="13319" width="0" style="74" hidden="1" customWidth="1"/>
    <col min="13320" max="13568" width="9.140625" style="74"/>
    <col min="13569" max="13569" width="55.28515625" style="74" bestFit="1" customWidth="1"/>
    <col min="13570" max="13570" width="0" style="74" hidden="1" customWidth="1"/>
    <col min="13571" max="13571" width="21.85546875" style="74" bestFit="1" customWidth="1"/>
    <col min="13572" max="13572" width="0" style="74" hidden="1" customWidth="1"/>
    <col min="13573" max="13573" width="21.42578125" style="74" customWidth="1"/>
    <col min="13574" max="13574" width="10" style="74" bestFit="1" customWidth="1"/>
    <col min="13575" max="13575" width="0" style="74" hidden="1" customWidth="1"/>
    <col min="13576" max="13824" width="9.140625" style="74"/>
    <col min="13825" max="13825" width="55.28515625" style="74" bestFit="1" customWidth="1"/>
    <col min="13826" max="13826" width="0" style="74" hidden="1" customWidth="1"/>
    <col min="13827" max="13827" width="21.85546875" style="74" bestFit="1" customWidth="1"/>
    <col min="13828" max="13828" width="0" style="74" hidden="1" customWidth="1"/>
    <col min="13829" max="13829" width="21.42578125" style="74" customWidth="1"/>
    <col min="13830" max="13830" width="10" style="74" bestFit="1" customWidth="1"/>
    <col min="13831" max="13831" width="0" style="74" hidden="1" customWidth="1"/>
    <col min="13832" max="14080" width="9.140625" style="74"/>
    <col min="14081" max="14081" width="55.28515625" style="74" bestFit="1" customWidth="1"/>
    <col min="14082" max="14082" width="0" style="74" hidden="1" customWidth="1"/>
    <col min="14083" max="14083" width="21.85546875" style="74" bestFit="1" customWidth="1"/>
    <col min="14084" max="14084" width="0" style="74" hidden="1" customWidth="1"/>
    <col min="14085" max="14085" width="21.42578125" style="74" customWidth="1"/>
    <col min="14086" max="14086" width="10" style="74" bestFit="1" customWidth="1"/>
    <col min="14087" max="14087" width="0" style="74" hidden="1" customWidth="1"/>
    <col min="14088" max="14336" width="9.140625" style="74"/>
    <col min="14337" max="14337" width="55.28515625" style="74" bestFit="1" customWidth="1"/>
    <col min="14338" max="14338" width="0" style="74" hidden="1" customWidth="1"/>
    <col min="14339" max="14339" width="21.85546875" style="74" bestFit="1" customWidth="1"/>
    <col min="14340" max="14340" width="0" style="74" hidden="1" customWidth="1"/>
    <col min="14341" max="14341" width="21.42578125" style="74" customWidth="1"/>
    <col min="14342" max="14342" width="10" style="74" bestFit="1" customWidth="1"/>
    <col min="14343" max="14343" width="0" style="74" hidden="1" customWidth="1"/>
    <col min="14344" max="14592" width="9.140625" style="74"/>
    <col min="14593" max="14593" width="55.28515625" style="74" bestFit="1" customWidth="1"/>
    <col min="14594" max="14594" width="0" style="74" hidden="1" customWidth="1"/>
    <col min="14595" max="14595" width="21.85546875" style="74" bestFit="1" customWidth="1"/>
    <col min="14596" max="14596" width="0" style="74" hidden="1" customWidth="1"/>
    <col min="14597" max="14597" width="21.42578125" style="74" customWidth="1"/>
    <col min="14598" max="14598" width="10" style="74" bestFit="1" customWidth="1"/>
    <col min="14599" max="14599" width="0" style="74" hidden="1" customWidth="1"/>
    <col min="14600" max="14848" width="9.140625" style="74"/>
    <col min="14849" max="14849" width="55.28515625" style="74" bestFit="1" customWidth="1"/>
    <col min="14850" max="14850" width="0" style="74" hidden="1" customWidth="1"/>
    <col min="14851" max="14851" width="21.85546875" style="74" bestFit="1" customWidth="1"/>
    <col min="14852" max="14852" width="0" style="74" hidden="1" customWidth="1"/>
    <col min="14853" max="14853" width="21.42578125" style="74" customWidth="1"/>
    <col min="14854" max="14854" width="10" style="74" bestFit="1" customWidth="1"/>
    <col min="14855" max="14855" width="0" style="74" hidden="1" customWidth="1"/>
    <col min="14856" max="15104" width="9.140625" style="74"/>
    <col min="15105" max="15105" width="55.28515625" style="74" bestFit="1" customWidth="1"/>
    <col min="15106" max="15106" width="0" style="74" hidden="1" customWidth="1"/>
    <col min="15107" max="15107" width="21.85546875" style="74" bestFit="1" customWidth="1"/>
    <col min="15108" max="15108" width="0" style="74" hidden="1" customWidth="1"/>
    <col min="15109" max="15109" width="21.42578125" style="74" customWidth="1"/>
    <col min="15110" max="15110" width="10" style="74" bestFit="1" customWidth="1"/>
    <col min="15111" max="15111" width="0" style="74" hidden="1" customWidth="1"/>
    <col min="15112" max="15360" width="9.140625" style="74"/>
    <col min="15361" max="15361" width="55.28515625" style="74" bestFit="1" customWidth="1"/>
    <col min="15362" max="15362" width="0" style="74" hidden="1" customWidth="1"/>
    <col min="15363" max="15363" width="21.85546875" style="74" bestFit="1" customWidth="1"/>
    <col min="15364" max="15364" width="0" style="74" hidden="1" customWidth="1"/>
    <col min="15365" max="15365" width="21.42578125" style="74" customWidth="1"/>
    <col min="15366" max="15366" width="10" style="74" bestFit="1" customWidth="1"/>
    <col min="15367" max="15367" width="0" style="74" hidden="1" customWidth="1"/>
    <col min="15368" max="15616" width="9.140625" style="74"/>
    <col min="15617" max="15617" width="55.28515625" style="74" bestFit="1" customWidth="1"/>
    <col min="15618" max="15618" width="0" style="74" hidden="1" customWidth="1"/>
    <col min="15619" max="15619" width="21.85546875" style="74" bestFit="1" customWidth="1"/>
    <col min="15620" max="15620" width="0" style="74" hidden="1" customWidth="1"/>
    <col min="15621" max="15621" width="21.42578125" style="74" customWidth="1"/>
    <col min="15622" max="15622" width="10" style="74" bestFit="1" customWidth="1"/>
    <col min="15623" max="15623" width="0" style="74" hidden="1" customWidth="1"/>
    <col min="15624" max="15872" width="9.140625" style="74"/>
    <col min="15873" max="15873" width="55.28515625" style="74" bestFit="1" customWidth="1"/>
    <col min="15874" max="15874" width="0" style="74" hidden="1" customWidth="1"/>
    <col min="15875" max="15875" width="21.85546875" style="74" bestFit="1" customWidth="1"/>
    <col min="15876" max="15876" width="0" style="74" hidden="1" customWidth="1"/>
    <col min="15877" max="15877" width="21.42578125" style="74" customWidth="1"/>
    <col min="15878" max="15878" width="10" style="74" bestFit="1" customWidth="1"/>
    <col min="15879" max="15879" width="0" style="74" hidden="1" customWidth="1"/>
    <col min="15880" max="16128" width="9.140625" style="74"/>
    <col min="16129" max="16129" width="55.28515625" style="74" bestFit="1" customWidth="1"/>
    <col min="16130" max="16130" width="0" style="74" hidden="1" customWidth="1"/>
    <col min="16131" max="16131" width="21.85546875" style="74" bestFit="1" customWidth="1"/>
    <col min="16132" max="16132" width="0" style="74" hidden="1" customWidth="1"/>
    <col min="16133" max="16133" width="21.42578125" style="74" customWidth="1"/>
    <col min="16134" max="16134" width="10" style="74" bestFit="1" customWidth="1"/>
    <col min="16135" max="16135" width="0" style="74" hidden="1" customWidth="1"/>
    <col min="16136" max="16384" width="9.140625" style="74"/>
  </cols>
  <sheetData>
    <row r="1" spans="1:8" ht="15.75" customHeight="1" x14ac:dyDescent="0.25">
      <c r="A1" s="575" t="s">
        <v>0</v>
      </c>
      <c r="B1" s="575"/>
      <c r="C1" s="575"/>
      <c r="D1" s="575"/>
      <c r="E1" s="575"/>
      <c r="F1" s="575"/>
      <c r="G1" s="575"/>
      <c r="H1" s="575"/>
    </row>
    <row r="2" spans="1:8" ht="15.75" customHeight="1" x14ac:dyDescent="0.25">
      <c r="A2" s="576" t="s">
        <v>285</v>
      </c>
      <c r="B2" s="576"/>
      <c r="C2" s="576"/>
      <c r="D2" s="576"/>
      <c r="E2" s="576"/>
      <c r="F2" s="576"/>
      <c r="G2" s="576"/>
      <c r="H2" s="576"/>
    </row>
    <row r="3" spans="1:8" ht="15.75" customHeight="1" x14ac:dyDescent="0.25">
      <c r="A3" s="576"/>
      <c r="B3" s="576"/>
      <c r="C3" s="576"/>
      <c r="D3" s="576"/>
      <c r="E3" s="576"/>
      <c r="F3" s="576"/>
      <c r="G3" s="576"/>
      <c r="H3" s="576"/>
    </row>
    <row r="4" spans="1:8" ht="36.75" customHeight="1" x14ac:dyDescent="0.25">
      <c r="A4" s="575" t="s">
        <v>380</v>
      </c>
      <c r="B4" s="575"/>
      <c r="C4" s="575"/>
      <c r="D4" s="575"/>
      <c r="E4" s="575"/>
      <c r="F4" s="575"/>
      <c r="G4" s="575"/>
      <c r="H4" s="575"/>
    </row>
    <row r="5" spans="1:8" x14ac:dyDescent="0.25">
      <c r="B5" s="577"/>
      <c r="C5" s="577"/>
      <c r="D5" s="577"/>
      <c r="E5" s="577"/>
      <c r="F5" s="577"/>
      <c r="G5" s="577"/>
      <c r="H5" s="577"/>
    </row>
    <row r="6" spans="1:8" hidden="1" x14ac:dyDescent="0.25">
      <c r="A6" s="76"/>
      <c r="B6" s="77"/>
      <c r="C6" s="77"/>
      <c r="D6" s="77"/>
      <c r="E6" s="77"/>
      <c r="F6" s="78"/>
      <c r="G6" s="77"/>
      <c r="H6" s="77"/>
    </row>
    <row r="7" spans="1:8" hidden="1" x14ac:dyDescent="0.25">
      <c r="A7" s="578" t="s">
        <v>2</v>
      </c>
      <c r="B7" s="579"/>
      <c r="C7" s="579"/>
      <c r="D7" s="579"/>
      <c r="E7" s="579"/>
      <c r="F7" s="579"/>
      <c r="G7" s="579"/>
      <c r="H7" s="579"/>
    </row>
    <row r="8" spans="1:8" ht="63" hidden="1" x14ac:dyDescent="0.25">
      <c r="A8" s="29" t="s">
        <v>3</v>
      </c>
      <c r="B8" s="29" t="s">
        <v>4</v>
      </c>
      <c r="C8" s="34" t="s">
        <v>6</v>
      </c>
      <c r="D8" s="34"/>
      <c r="E8" s="34"/>
      <c r="F8" s="29" t="s">
        <v>286</v>
      </c>
      <c r="G8" s="30" t="s">
        <v>287</v>
      </c>
      <c r="H8" s="30" t="s">
        <v>288</v>
      </c>
    </row>
    <row r="9" spans="1:8" hidden="1" x14ac:dyDescent="0.25">
      <c r="A9" s="580">
        <v>1</v>
      </c>
      <c r="B9" s="581"/>
      <c r="C9" s="582"/>
      <c r="D9" s="79"/>
      <c r="E9" s="79"/>
      <c r="F9" s="72">
        <v>2</v>
      </c>
      <c r="G9" s="73">
        <v>3</v>
      </c>
      <c r="H9" s="73">
        <v>4</v>
      </c>
    </row>
    <row r="10" spans="1:8" hidden="1" x14ac:dyDescent="0.25">
      <c r="A10" s="35">
        <v>6</v>
      </c>
      <c r="B10" s="36"/>
      <c r="C10" s="35"/>
      <c r="D10" s="35"/>
      <c r="E10" s="35"/>
      <c r="F10" s="37">
        <f>F11+F26+F30+F33+F40+F43</f>
        <v>24659145.79600504</v>
      </c>
      <c r="G10" s="37">
        <f>G11+G26+G30+G33+G40+G43</f>
        <v>63888652.490000002</v>
      </c>
      <c r="H10" s="37">
        <f>H11+H26+H30+H33+H40+H43</f>
        <v>30834918.75</v>
      </c>
    </row>
    <row r="11" spans="1:8" hidden="1" x14ac:dyDescent="0.25">
      <c r="A11" s="38"/>
      <c r="B11" s="39">
        <v>63</v>
      </c>
      <c r="C11" s="40" t="s">
        <v>41</v>
      </c>
      <c r="D11" s="40"/>
      <c r="E11" s="40"/>
      <c r="F11" s="41">
        <f>F12+F14+F17+F19+F21+F24</f>
        <v>324811.46725064697</v>
      </c>
      <c r="G11" s="41">
        <f>SUM(G12,G14,G17,G19,G21,G24)</f>
        <v>639378.8600000001</v>
      </c>
      <c r="H11" s="41">
        <f>SUM(H12,H14,H17,H19,H21,H24)</f>
        <v>1892796.77</v>
      </c>
    </row>
    <row r="12" spans="1:8" hidden="1" x14ac:dyDescent="0.25">
      <c r="A12" s="38"/>
      <c r="B12" s="44">
        <v>632</v>
      </c>
      <c r="C12" s="45" t="s">
        <v>240</v>
      </c>
      <c r="D12" s="45"/>
      <c r="E12" s="45"/>
      <c r="F12" s="46">
        <f>SUM(F13)</f>
        <v>0</v>
      </c>
      <c r="G12" s="46">
        <f>SUM(G13)</f>
        <v>0</v>
      </c>
      <c r="H12" s="46">
        <f>SUM(H13)</f>
        <v>0</v>
      </c>
    </row>
    <row r="13" spans="1:8" hidden="1" x14ac:dyDescent="0.25">
      <c r="A13" s="38"/>
      <c r="B13" s="47">
        <v>6324</v>
      </c>
      <c r="C13" s="48" t="s">
        <v>241</v>
      </c>
      <c r="D13" s="48"/>
      <c r="E13" s="48"/>
      <c r="F13" s="80">
        <v>0</v>
      </c>
      <c r="G13" s="81">
        <v>0</v>
      </c>
      <c r="H13" s="81">
        <v>0</v>
      </c>
    </row>
    <row r="14" spans="1:8" hidden="1" x14ac:dyDescent="0.25">
      <c r="A14" s="38"/>
      <c r="B14" s="44">
        <v>633</v>
      </c>
      <c r="C14" s="50" t="s">
        <v>242</v>
      </c>
      <c r="D14" s="50"/>
      <c r="E14" s="50"/>
      <c r="F14" s="46">
        <f>SUM(F15:F16)</f>
        <v>50556.108567257281</v>
      </c>
      <c r="G14" s="46">
        <f>SUM(G15:G16)</f>
        <v>0</v>
      </c>
      <c r="H14" s="46">
        <f>SUM(H15:H16)</f>
        <v>0</v>
      </c>
    </row>
    <row r="15" spans="1:8" hidden="1" x14ac:dyDescent="0.25">
      <c r="A15" s="38"/>
      <c r="B15" s="54">
        <v>6331</v>
      </c>
      <c r="C15" s="82" t="s">
        <v>244</v>
      </c>
      <c r="D15" s="82"/>
      <c r="E15" s="82"/>
      <c r="F15" s="80">
        <f>380915/7.5345</f>
        <v>50556.108567257281</v>
      </c>
      <c r="G15" s="81">
        <v>0</v>
      </c>
      <c r="H15" s="81">
        <v>0</v>
      </c>
    </row>
    <row r="16" spans="1:8" hidden="1" x14ac:dyDescent="0.25">
      <c r="A16" s="38"/>
      <c r="B16" s="54">
        <v>6332</v>
      </c>
      <c r="C16" s="82" t="s">
        <v>246</v>
      </c>
      <c r="D16" s="82"/>
      <c r="E16" s="82"/>
      <c r="F16" s="80">
        <v>0</v>
      </c>
      <c r="G16" s="80">
        <v>0</v>
      </c>
      <c r="H16" s="80">
        <v>0</v>
      </c>
    </row>
    <row r="17" spans="1:8" hidden="1" x14ac:dyDescent="0.25">
      <c r="A17" s="38"/>
      <c r="B17" s="38">
        <v>634</v>
      </c>
      <c r="C17" s="83" t="s">
        <v>24</v>
      </c>
      <c r="D17" s="83"/>
      <c r="E17" s="83"/>
      <c r="F17" s="84">
        <f>SUM(F18)</f>
        <v>111981.9496980556</v>
      </c>
      <c r="G17" s="84">
        <f>SUM(G18)</f>
        <v>366500.76</v>
      </c>
      <c r="H17" s="84">
        <f>SUM(H18)</f>
        <v>1829292.75</v>
      </c>
    </row>
    <row r="18" spans="1:8" hidden="1" x14ac:dyDescent="0.25">
      <c r="A18" s="38"/>
      <c r="B18" s="54">
        <v>6341</v>
      </c>
      <c r="C18" s="82" t="s">
        <v>26</v>
      </c>
      <c r="D18" s="82"/>
      <c r="E18" s="82"/>
      <c r="F18" s="80">
        <f>843728/7.5345</f>
        <v>111981.9496980556</v>
      </c>
      <c r="G18" s="80">
        <v>366500.76</v>
      </c>
      <c r="H18" s="80">
        <v>1829292.75</v>
      </c>
    </row>
    <row r="19" spans="1:8" ht="17.25" hidden="1" customHeight="1" x14ac:dyDescent="0.25">
      <c r="A19" s="38"/>
      <c r="B19" s="38">
        <v>636</v>
      </c>
      <c r="C19" s="56" t="s">
        <v>248</v>
      </c>
      <c r="D19" s="56"/>
      <c r="E19" s="56"/>
      <c r="F19" s="84">
        <f>SUM(F20)</f>
        <v>54857.12389674165</v>
      </c>
      <c r="G19" s="84">
        <f>SUM(G20)</f>
        <v>796.34</v>
      </c>
      <c r="H19" s="84">
        <f>SUM(H20)</f>
        <v>45490.31</v>
      </c>
    </row>
    <row r="20" spans="1:8" hidden="1" x14ac:dyDescent="0.25">
      <c r="A20" s="38"/>
      <c r="B20" s="54">
        <v>6361</v>
      </c>
      <c r="C20" s="85" t="s">
        <v>249</v>
      </c>
      <c r="D20" s="85"/>
      <c r="E20" s="85"/>
      <c r="F20" s="80">
        <f>413321/7.5345</f>
        <v>54857.12389674165</v>
      </c>
      <c r="G20" s="80">
        <f>796.34</f>
        <v>796.34</v>
      </c>
      <c r="H20" s="80">
        <v>45490.31</v>
      </c>
    </row>
    <row r="21" spans="1:8" hidden="1" x14ac:dyDescent="0.25">
      <c r="A21" s="38"/>
      <c r="B21" s="38">
        <v>638</v>
      </c>
      <c r="C21" s="86" t="s">
        <v>250</v>
      </c>
      <c r="D21" s="86"/>
      <c r="E21" s="86"/>
      <c r="F21" s="84">
        <f>SUM(F22:F23)</f>
        <v>107244.80722012077</v>
      </c>
      <c r="G21" s="84">
        <f>SUM(G23)</f>
        <v>272081.76</v>
      </c>
      <c r="H21" s="84">
        <f>SUM(H23)</f>
        <v>18013.71</v>
      </c>
    </row>
    <row r="22" spans="1:8" hidden="1" x14ac:dyDescent="0.25">
      <c r="A22" s="54"/>
      <c r="B22" s="54">
        <v>6381</v>
      </c>
      <c r="C22" s="85" t="s">
        <v>34</v>
      </c>
      <c r="D22" s="85"/>
      <c r="E22" s="85"/>
      <c r="F22" s="80">
        <f>493624/7.5345</f>
        <v>65515.163580861365</v>
      </c>
      <c r="G22" s="80">
        <v>0</v>
      </c>
      <c r="H22" s="80">
        <v>0</v>
      </c>
    </row>
    <row r="23" spans="1:8" hidden="1" x14ac:dyDescent="0.25">
      <c r="A23" s="38"/>
      <c r="B23" s="54">
        <v>6382</v>
      </c>
      <c r="C23" s="85" t="s">
        <v>251</v>
      </c>
      <c r="D23" s="85"/>
      <c r="E23" s="85"/>
      <c r="F23" s="80">
        <f>314412/7.5345</f>
        <v>41729.643639259404</v>
      </c>
      <c r="G23" s="80">
        <v>272081.76</v>
      </c>
      <c r="H23" s="80">
        <v>18013.71</v>
      </c>
    </row>
    <row r="24" spans="1:8" hidden="1" x14ac:dyDescent="0.25">
      <c r="A24" s="38"/>
      <c r="B24" s="38">
        <v>639</v>
      </c>
      <c r="C24" s="86" t="s">
        <v>252</v>
      </c>
      <c r="D24" s="86"/>
      <c r="E24" s="86"/>
      <c r="F24" s="84">
        <f>SUM(F25)</f>
        <v>171.47786847169687</v>
      </c>
      <c r="G24" s="84">
        <f>SUM(G25)</f>
        <v>0</v>
      </c>
      <c r="H24" s="84">
        <f>SUM(H25)</f>
        <v>0</v>
      </c>
    </row>
    <row r="25" spans="1:8" hidden="1" x14ac:dyDescent="0.25">
      <c r="A25" s="38"/>
      <c r="B25" s="54">
        <v>6391</v>
      </c>
      <c r="C25" s="85" t="s">
        <v>253</v>
      </c>
      <c r="D25" s="85"/>
      <c r="E25" s="85"/>
      <c r="F25" s="80">
        <f>1292/7.5345</f>
        <v>171.47786847169687</v>
      </c>
      <c r="G25" s="80">
        <v>0</v>
      </c>
      <c r="H25" s="80">
        <v>0</v>
      </c>
    </row>
    <row r="26" spans="1:8" hidden="1" x14ac:dyDescent="0.25">
      <c r="A26" s="38"/>
      <c r="B26" s="58">
        <v>64</v>
      </c>
      <c r="C26" s="87" t="s">
        <v>42</v>
      </c>
      <c r="D26" s="87"/>
      <c r="E26" s="87"/>
      <c r="F26" s="88">
        <f>SUM(F27:F29)</f>
        <v>50144.535138363528</v>
      </c>
      <c r="G26" s="88">
        <f>SUM(G27:G29)</f>
        <v>120462.42</v>
      </c>
      <c r="H26" s="88">
        <f>SUM(H27:H29)</f>
        <v>55180.92</v>
      </c>
    </row>
    <row r="27" spans="1:8" hidden="1" x14ac:dyDescent="0.25">
      <c r="A27" s="38"/>
      <c r="B27" s="54">
        <v>6413</v>
      </c>
      <c r="C27" s="82" t="s">
        <v>254</v>
      </c>
      <c r="D27" s="82"/>
      <c r="E27" s="82"/>
      <c r="F27" s="80">
        <f>439/7.5345</f>
        <v>58.265312894020838</v>
      </c>
      <c r="G27" s="80">
        <v>746.44</v>
      </c>
      <c r="H27" s="80">
        <v>204.07</v>
      </c>
    </row>
    <row r="28" spans="1:8" hidden="1" x14ac:dyDescent="0.25">
      <c r="A28" s="38"/>
      <c r="B28" s="54">
        <v>6419</v>
      </c>
      <c r="C28" s="82" t="s">
        <v>255</v>
      </c>
      <c r="D28" s="82"/>
      <c r="E28" s="82"/>
      <c r="F28" s="80">
        <f>376342/7.5345</f>
        <v>49949.167164377199</v>
      </c>
      <c r="G28" s="80">
        <v>119450.53</v>
      </c>
      <c r="H28" s="80">
        <v>54839.75</v>
      </c>
    </row>
    <row r="29" spans="1:8" hidden="1" x14ac:dyDescent="0.25">
      <c r="A29" s="38"/>
      <c r="B29" s="54">
        <v>6429</v>
      </c>
      <c r="C29" s="82" t="s">
        <v>58</v>
      </c>
      <c r="D29" s="82"/>
      <c r="E29" s="82"/>
      <c r="F29" s="80">
        <f>1033/7.5345</f>
        <v>137.10266109230869</v>
      </c>
      <c r="G29" s="80">
        <f>265.45</f>
        <v>265.45</v>
      </c>
      <c r="H29" s="80">
        <v>137.1</v>
      </c>
    </row>
    <row r="30" spans="1:8" hidden="1" x14ac:dyDescent="0.25">
      <c r="A30" s="38"/>
      <c r="B30" s="58">
        <v>65</v>
      </c>
      <c r="C30" s="87" t="s">
        <v>46</v>
      </c>
      <c r="D30" s="87"/>
      <c r="E30" s="87"/>
      <c r="F30" s="88">
        <f>F31</f>
        <v>1523828.3894087197</v>
      </c>
      <c r="G30" s="88">
        <f>SUM(G31)</f>
        <v>6950029.8600000003</v>
      </c>
      <c r="H30" s="88">
        <f>SUM(H31)</f>
        <v>1963072.34</v>
      </c>
    </row>
    <row r="31" spans="1:8" hidden="1" x14ac:dyDescent="0.25">
      <c r="A31" s="38"/>
      <c r="B31" s="38">
        <v>652</v>
      </c>
      <c r="C31" s="83" t="s">
        <v>46</v>
      </c>
      <c r="D31" s="83"/>
      <c r="E31" s="83"/>
      <c r="F31" s="84">
        <f>SUM(F32)</f>
        <v>1523828.3894087197</v>
      </c>
      <c r="G31" s="84">
        <f>SUM(G32)</f>
        <v>6950029.8600000003</v>
      </c>
      <c r="H31" s="84">
        <f>SUM(H32)</f>
        <v>1963072.34</v>
      </c>
    </row>
    <row r="32" spans="1:8" hidden="1" x14ac:dyDescent="0.25">
      <c r="A32" s="38"/>
      <c r="B32" s="54">
        <v>6526</v>
      </c>
      <c r="C32" s="82" t="s">
        <v>47</v>
      </c>
      <c r="D32" s="82"/>
      <c r="E32" s="82"/>
      <c r="F32" s="80">
        <f>11481285/7.5345</f>
        <v>1523828.3894087197</v>
      </c>
      <c r="G32" s="80">
        <f>6950029.86</f>
        <v>6950029.8600000003</v>
      </c>
      <c r="H32" s="80">
        <v>1963072.34</v>
      </c>
    </row>
    <row r="33" spans="1:8" hidden="1" x14ac:dyDescent="0.25">
      <c r="A33" s="38"/>
      <c r="B33" s="58">
        <v>66</v>
      </c>
      <c r="C33" s="87" t="s">
        <v>256</v>
      </c>
      <c r="D33" s="87"/>
      <c r="E33" s="87"/>
      <c r="F33" s="88">
        <f>F34+F37</f>
        <v>1701559.2275532549</v>
      </c>
      <c r="G33" s="88">
        <f>SUM(G34,G37)</f>
        <v>3641484.8899999997</v>
      </c>
      <c r="H33" s="88">
        <f>SUM(H34,H37)</f>
        <v>1739052.02</v>
      </c>
    </row>
    <row r="34" spans="1:8" hidden="1" x14ac:dyDescent="0.25">
      <c r="A34" s="38"/>
      <c r="B34" s="38">
        <v>661</v>
      </c>
      <c r="C34" s="86" t="s">
        <v>257</v>
      </c>
      <c r="D34" s="86"/>
      <c r="E34" s="86"/>
      <c r="F34" s="84">
        <f>SUM(F35:F36)</f>
        <v>1677912.004778021</v>
      </c>
      <c r="G34" s="84">
        <f>SUM(G36,G35)</f>
        <v>3521370.76</v>
      </c>
      <c r="H34" s="84">
        <f>SUM(H36,H35)</f>
        <v>1704828.02</v>
      </c>
    </row>
    <row r="35" spans="1:8" hidden="1" x14ac:dyDescent="0.25">
      <c r="A35" s="54"/>
      <c r="B35" s="54">
        <v>6614</v>
      </c>
      <c r="C35" s="85" t="s">
        <v>258</v>
      </c>
      <c r="D35" s="85"/>
      <c r="E35" s="85"/>
      <c r="F35" s="80">
        <f>6216809/7.5345</f>
        <v>825112.34985732299</v>
      </c>
      <c r="G35" s="80">
        <v>1725396.51</v>
      </c>
      <c r="H35" s="80">
        <v>916985.05</v>
      </c>
    </row>
    <row r="36" spans="1:8" hidden="1" x14ac:dyDescent="0.25">
      <c r="A36" s="38"/>
      <c r="B36" s="54">
        <v>6615</v>
      </c>
      <c r="C36" s="82" t="s">
        <v>65</v>
      </c>
      <c r="D36" s="82"/>
      <c r="E36" s="82"/>
      <c r="F36" s="80">
        <f>6425419/7.5345</f>
        <v>852799.65492069803</v>
      </c>
      <c r="G36" s="80">
        <v>1795974.25</v>
      </c>
      <c r="H36" s="80">
        <v>787842.97</v>
      </c>
    </row>
    <row r="37" spans="1:8" hidden="1" x14ac:dyDescent="0.25">
      <c r="A37" s="38"/>
      <c r="B37" s="38">
        <v>663</v>
      </c>
      <c r="C37" s="83" t="s">
        <v>259</v>
      </c>
      <c r="D37" s="83"/>
      <c r="E37" s="83"/>
      <c r="F37" s="84">
        <f>SUM(F38:F39)</f>
        <v>23647.222775233924</v>
      </c>
      <c r="G37" s="84">
        <f>SUM(G38:G39)</f>
        <v>120114.13</v>
      </c>
      <c r="H37" s="84">
        <f>SUM(H38:H39)</f>
        <v>34224</v>
      </c>
    </row>
    <row r="38" spans="1:8" hidden="1" x14ac:dyDescent="0.25">
      <c r="A38" s="38"/>
      <c r="B38" s="54">
        <v>6631</v>
      </c>
      <c r="C38" s="82" t="s">
        <v>69</v>
      </c>
      <c r="D38" s="82"/>
      <c r="E38" s="82"/>
      <c r="F38" s="80">
        <f>5000/7.5345</f>
        <v>663.61404207313024</v>
      </c>
      <c r="G38" s="80">
        <v>53752.73</v>
      </c>
      <c r="H38" s="80">
        <f>5600+1310</f>
        <v>6910</v>
      </c>
    </row>
    <row r="39" spans="1:8" hidden="1" x14ac:dyDescent="0.25">
      <c r="A39" s="38"/>
      <c r="B39" s="54">
        <v>6632</v>
      </c>
      <c r="C39" s="82" t="s">
        <v>71</v>
      </c>
      <c r="D39" s="82"/>
      <c r="E39" s="82"/>
      <c r="F39" s="80">
        <f>173170/7.5345</f>
        <v>22983.608733160792</v>
      </c>
      <c r="G39" s="80">
        <v>66361.399999999994</v>
      </c>
      <c r="H39" s="80">
        <v>27314</v>
      </c>
    </row>
    <row r="40" spans="1:8" s="89" customFormat="1" hidden="1" x14ac:dyDescent="0.25">
      <c r="A40" s="38"/>
      <c r="B40" s="58">
        <v>67</v>
      </c>
      <c r="C40" s="87" t="s">
        <v>260</v>
      </c>
      <c r="D40" s="87"/>
      <c r="E40" s="87"/>
      <c r="F40" s="88">
        <f t="shared" ref="F40:H41" si="0">SUM(F41)</f>
        <v>20985599.575287011</v>
      </c>
      <c r="G40" s="88">
        <f t="shared" si="0"/>
        <v>52367289.020000003</v>
      </c>
      <c r="H40" s="88">
        <f t="shared" si="0"/>
        <v>24656056.140000001</v>
      </c>
    </row>
    <row r="41" spans="1:8" hidden="1" x14ac:dyDescent="0.25">
      <c r="A41" s="38"/>
      <c r="B41" s="38">
        <v>673</v>
      </c>
      <c r="C41" s="83" t="s">
        <v>261</v>
      </c>
      <c r="D41" s="83"/>
      <c r="E41" s="83"/>
      <c r="F41" s="84">
        <f t="shared" si="0"/>
        <v>20985599.575287011</v>
      </c>
      <c r="G41" s="84">
        <f t="shared" si="0"/>
        <v>52367289.020000003</v>
      </c>
      <c r="H41" s="84">
        <f t="shared" si="0"/>
        <v>24656056.140000001</v>
      </c>
    </row>
    <row r="42" spans="1:8" hidden="1" x14ac:dyDescent="0.25">
      <c r="A42" s="38"/>
      <c r="B42" s="54">
        <v>6731</v>
      </c>
      <c r="C42" s="82" t="s">
        <v>49</v>
      </c>
      <c r="D42" s="82"/>
      <c r="E42" s="82"/>
      <c r="F42" s="80">
        <f>158116000/7.5345</f>
        <v>20985599.575287011</v>
      </c>
      <c r="G42" s="80">
        <v>52367289.020000003</v>
      </c>
      <c r="H42" s="80">
        <v>24656056.140000001</v>
      </c>
    </row>
    <row r="43" spans="1:8" hidden="1" x14ac:dyDescent="0.25">
      <c r="A43" s="38"/>
      <c r="B43" s="58">
        <v>68</v>
      </c>
      <c r="C43" s="66" t="s">
        <v>52</v>
      </c>
      <c r="D43" s="66"/>
      <c r="E43" s="66"/>
      <c r="F43" s="88">
        <f t="shared" ref="F43:H44" si="1">SUM(F44)</f>
        <v>73202.601367044917</v>
      </c>
      <c r="G43" s="88">
        <f t="shared" si="1"/>
        <v>170007.44</v>
      </c>
      <c r="H43" s="88">
        <f t="shared" si="1"/>
        <v>528760.56000000006</v>
      </c>
    </row>
    <row r="44" spans="1:8" hidden="1" x14ac:dyDescent="0.25">
      <c r="A44" s="38"/>
      <c r="B44" s="38">
        <v>683</v>
      </c>
      <c r="C44" s="83" t="s">
        <v>54</v>
      </c>
      <c r="D44" s="83"/>
      <c r="E44" s="83"/>
      <c r="F44" s="84">
        <f t="shared" si="1"/>
        <v>73202.601367044917</v>
      </c>
      <c r="G44" s="84">
        <f t="shared" si="1"/>
        <v>170007.44</v>
      </c>
      <c r="H44" s="84">
        <f t="shared" si="1"/>
        <v>528760.56000000006</v>
      </c>
    </row>
    <row r="45" spans="1:8" hidden="1" x14ac:dyDescent="0.25">
      <c r="A45" s="38"/>
      <c r="B45" s="54">
        <v>6831</v>
      </c>
      <c r="C45" s="82" t="s">
        <v>54</v>
      </c>
      <c r="D45" s="82"/>
      <c r="E45" s="82"/>
      <c r="F45" s="80">
        <f>551545/7.5345</f>
        <v>73202.601367044917</v>
      </c>
      <c r="G45" s="80">
        <v>170007.44</v>
      </c>
      <c r="H45" s="80">
        <v>528760.56000000006</v>
      </c>
    </row>
    <row r="46" spans="1:8" hidden="1" x14ac:dyDescent="0.25">
      <c r="A46" s="35">
        <v>7</v>
      </c>
      <c r="B46" s="35"/>
      <c r="C46" s="67" t="s">
        <v>75</v>
      </c>
      <c r="D46" s="67"/>
      <c r="E46" s="67"/>
      <c r="F46" s="90">
        <f>F48</f>
        <v>206.78213550998737</v>
      </c>
      <c r="G46" s="90">
        <f>SUM(G47)</f>
        <v>7432.4800000000005</v>
      </c>
      <c r="H46" s="90">
        <f>SUM(H47)</f>
        <v>18031</v>
      </c>
    </row>
    <row r="47" spans="1:8" hidden="1" x14ac:dyDescent="0.25">
      <c r="A47" s="38"/>
      <c r="B47" s="58">
        <v>72</v>
      </c>
      <c r="C47" s="69" t="s">
        <v>76</v>
      </c>
      <c r="D47" s="69"/>
      <c r="E47" s="69"/>
      <c r="F47" s="88">
        <f>SUM(F48)</f>
        <v>206.78213550998737</v>
      </c>
      <c r="G47" s="88">
        <f>SUM(G48)</f>
        <v>7432.4800000000005</v>
      </c>
      <c r="H47" s="88">
        <f>SUM(H48)</f>
        <v>18031</v>
      </c>
    </row>
    <row r="48" spans="1:8" hidden="1" x14ac:dyDescent="0.25">
      <c r="A48" s="38"/>
      <c r="B48" s="38">
        <v>721</v>
      </c>
      <c r="C48" s="83" t="s">
        <v>77</v>
      </c>
      <c r="D48" s="83"/>
      <c r="E48" s="83"/>
      <c r="F48" s="84">
        <f>SUM(F49)</f>
        <v>206.78213550998737</v>
      </c>
      <c r="G48" s="84">
        <f>SUM(G49,G50)</f>
        <v>7432.4800000000005</v>
      </c>
      <c r="H48" s="84">
        <f>SUM(H49,H50)</f>
        <v>18031</v>
      </c>
    </row>
    <row r="49" spans="1:8" hidden="1" x14ac:dyDescent="0.25">
      <c r="A49" s="38"/>
      <c r="B49" s="54">
        <v>7211</v>
      </c>
      <c r="C49" s="82" t="s">
        <v>78</v>
      </c>
      <c r="D49" s="82"/>
      <c r="E49" s="82"/>
      <c r="F49" s="80">
        <f>1558/7.5345</f>
        <v>206.78213550998737</v>
      </c>
      <c r="G49" s="80">
        <v>796.34</v>
      </c>
      <c r="H49" s="80">
        <v>18031</v>
      </c>
    </row>
    <row r="50" spans="1:8" hidden="1" x14ac:dyDescent="0.25">
      <c r="A50" s="38"/>
      <c r="B50" s="54">
        <v>7231</v>
      </c>
      <c r="C50" s="82" t="s">
        <v>80</v>
      </c>
      <c r="D50" s="82"/>
      <c r="E50" s="82"/>
      <c r="F50" s="80">
        <v>0</v>
      </c>
      <c r="G50" s="80">
        <v>6636.14</v>
      </c>
      <c r="H50" s="80">
        <v>0</v>
      </c>
    </row>
    <row r="51" spans="1:8" hidden="1" x14ac:dyDescent="0.25">
      <c r="A51" s="561" t="s">
        <v>262</v>
      </c>
      <c r="B51" s="562"/>
      <c r="C51" s="563"/>
      <c r="D51" s="70"/>
      <c r="E51" s="70"/>
      <c r="F51" s="91">
        <f>F10+F46</f>
        <v>24659352.578140549</v>
      </c>
      <c r="G51" s="91">
        <f>G10+G46</f>
        <v>63896084.969999999</v>
      </c>
      <c r="H51" s="91">
        <f>H10+H46</f>
        <v>30852949.75</v>
      </c>
    </row>
    <row r="52" spans="1:8" hidden="1" x14ac:dyDescent="0.25"/>
    <row r="53" spans="1:8" hidden="1" x14ac:dyDescent="0.25"/>
    <row r="54" spans="1:8" x14ac:dyDescent="0.25">
      <c r="A54" s="568" t="s">
        <v>289</v>
      </c>
      <c r="B54" s="568"/>
      <c r="C54" s="568"/>
      <c r="D54" s="568"/>
      <c r="E54" s="568"/>
      <c r="F54" s="568"/>
      <c r="G54" s="568"/>
      <c r="H54" s="568"/>
    </row>
    <row r="55" spans="1:8" ht="69" customHeight="1" x14ac:dyDescent="0.25">
      <c r="A55" s="29" t="s">
        <v>3</v>
      </c>
      <c r="B55" s="29" t="s">
        <v>4</v>
      </c>
      <c r="C55" s="34" t="s">
        <v>6</v>
      </c>
      <c r="D55" s="374" t="s">
        <v>556</v>
      </c>
      <c r="E55" s="374" t="s">
        <v>560</v>
      </c>
      <c r="F55" s="14" t="s">
        <v>558</v>
      </c>
      <c r="G55" s="14" t="s">
        <v>559</v>
      </c>
      <c r="H55" s="15" t="s">
        <v>557</v>
      </c>
    </row>
    <row r="56" spans="1:8" ht="13.5" customHeight="1" x14ac:dyDescent="0.25">
      <c r="A56" s="569">
        <v>1</v>
      </c>
      <c r="B56" s="570"/>
      <c r="C56" s="571"/>
      <c r="D56" s="94"/>
      <c r="E56" s="94"/>
      <c r="F56" s="95">
        <v>2</v>
      </c>
      <c r="G56" s="95">
        <v>3</v>
      </c>
      <c r="H56" s="96">
        <v>4</v>
      </c>
    </row>
    <row r="57" spans="1:8" x14ac:dyDescent="0.25">
      <c r="A57" s="35">
        <v>3</v>
      </c>
      <c r="B57" s="97"/>
      <c r="C57" s="97" t="s">
        <v>82</v>
      </c>
      <c r="D57" s="90" t="e">
        <f>D58+D81+D202+D215+D219+D224</f>
        <v>#REF!</v>
      </c>
      <c r="E57" s="90" t="e">
        <f>E58+E81+E202+E215+E219+E224</f>
        <v>#REF!</v>
      </c>
      <c r="F57" s="90">
        <f>F58+F81+F202+F215+F219+F224</f>
        <v>26300527.960000001</v>
      </c>
      <c r="G57" s="90">
        <f>G58+G81+G202+G215+G219+G224</f>
        <v>26565803.32</v>
      </c>
      <c r="H57" s="90">
        <f>H58+H81+H202+H215+H219+H224</f>
        <v>26806376.34</v>
      </c>
    </row>
    <row r="58" spans="1:8" x14ac:dyDescent="0.25">
      <c r="A58" s="38"/>
      <c r="B58" s="98">
        <v>31</v>
      </c>
      <c r="C58" s="98" t="s">
        <v>88</v>
      </c>
      <c r="D58" s="99" t="e">
        <f>SUM(D59,D66,D75)</f>
        <v>#REF!</v>
      </c>
      <c r="E58" s="99" t="e">
        <f>SUM(E59,E66,E75)</f>
        <v>#REF!</v>
      </c>
      <c r="F58" s="99">
        <f>SUM(F59,F66,F75)</f>
        <v>15852231.880000001</v>
      </c>
      <c r="G58" s="99">
        <f>SUM(G59,G66,G75)</f>
        <v>15926606.340000002</v>
      </c>
      <c r="H58" s="99">
        <f>SUM(H59,H66,H75)</f>
        <v>15987258.989999998</v>
      </c>
    </row>
    <row r="59" spans="1:8" x14ac:dyDescent="0.25">
      <c r="A59" s="38"/>
      <c r="B59" s="83">
        <v>311</v>
      </c>
      <c r="C59" s="83" t="s">
        <v>290</v>
      </c>
      <c r="D59" s="84" t="e">
        <f>D60+D64+#REF!</f>
        <v>#REF!</v>
      </c>
      <c r="E59" s="84" t="e">
        <f>E60+E64+#REF!</f>
        <v>#REF!</v>
      </c>
      <c r="F59" s="84">
        <f>F60+F64</f>
        <v>13264984.870000001</v>
      </c>
      <c r="G59" s="84">
        <f t="shared" ref="G59:H59" si="2">G60+G64</f>
        <v>13263565.210000001</v>
      </c>
      <c r="H59" s="84">
        <f t="shared" si="2"/>
        <v>13259961.32</v>
      </c>
    </row>
    <row r="60" spans="1:8" x14ac:dyDescent="0.25">
      <c r="A60" s="38"/>
      <c r="B60" s="83">
        <v>3111</v>
      </c>
      <c r="C60" s="83" t="s">
        <v>90</v>
      </c>
      <c r="D60" s="84" t="e">
        <f t="shared" ref="D60" si="3">D61+D62</f>
        <v>#REF!</v>
      </c>
      <c r="E60" s="84" t="e">
        <f t="shared" ref="E60:H60" si="4">E61+E62</f>
        <v>#REF!</v>
      </c>
      <c r="F60" s="84">
        <f t="shared" si="4"/>
        <v>13094984.870000001</v>
      </c>
      <c r="G60" s="84">
        <f t="shared" si="4"/>
        <v>13086565.210000001</v>
      </c>
      <c r="H60" s="84">
        <f t="shared" si="4"/>
        <v>13075961.32</v>
      </c>
    </row>
    <row r="61" spans="1:8" x14ac:dyDescent="0.25">
      <c r="A61" s="38"/>
      <c r="B61" s="82">
        <v>31111</v>
      </c>
      <c r="C61" s="82" t="s">
        <v>90</v>
      </c>
      <c r="D61" s="80" t="e">
        <f>' PRIHODI I RASHODI-izvori'!E15+' PRIHODI I RASHODI-izvori'!E245+' PRIHODI I RASHODI-izvori'!E108+' PRIHODI I RASHODI-izvori'!E454</f>
        <v>#REF!</v>
      </c>
      <c r="E61" s="80" t="e">
        <f>' PRIHODI I RASHODI-izvori'!F15+' PRIHODI I RASHODI-izvori'!F245+' PRIHODI I RASHODI-izvori'!F108+' PRIHODI I RASHODI-izvori'!F454</f>
        <v>#REF!</v>
      </c>
      <c r="F61" s="80">
        <f>' PRIHODI I RASHODI-izvori'!G15+' PRIHODI I RASHODI-izvori'!G108+' PRIHODI I RASHODI-izvori'!G245+' PRIHODI I RASHODI-izvori'!G454+' PRIHODI I RASHODI-izvori'!G496+' PRIHODI I RASHODI-izvori'!G517</f>
        <v>13093184.870000001</v>
      </c>
      <c r="G61" s="80">
        <f>' PRIHODI I RASHODI-izvori'!H15+' PRIHODI I RASHODI-izvori'!H108+' PRIHODI I RASHODI-izvori'!H245+' PRIHODI I RASHODI-izvori'!H454+' PRIHODI I RASHODI-izvori'!H496+' PRIHODI I RASHODI-izvori'!H517</f>
        <v>13084765.210000001</v>
      </c>
      <c r="H61" s="80">
        <f>' PRIHODI I RASHODI-izvori'!I15+' PRIHODI I RASHODI-izvori'!I108+' PRIHODI I RASHODI-izvori'!I245+' PRIHODI I RASHODI-izvori'!I454+' PRIHODI I RASHODI-izvori'!I496+' PRIHODI I RASHODI-izvori'!I517</f>
        <v>13074161.32</v>
      </c>
    </row>
    <row r="62" spans="1:8" x14ac:dyDescent="0.25">
      <c r="A62" s="38"/>
      <c r="B62" s="82">
        <v>31113</v>
      </c>
      <c r="C62" s="82" t="s">
        <v>400</v>
      </c>
      <c r="D62" s="80">
        <f>' PRIHODI I RASHODI-izvori'!E246</f>
        <v>0</v>
      </c>
      <c r="E62" s="80">
        <f>' PRIHODI I RASHODI-izvori'!F246</f>
        <v>0</v>
      </c>
      <c r="F62" s="80">
        <f>' PRIHODI I RASHODI-izvori'!G246</f>
        <v>1800</v>
      </c>
      <c r="G62" s="80">
        <f>' PRIHODI I RASHODI-izvori'!H246</f>
        <v>1800</v>
      </c>
      <c r="H62" s="80">
        <f>' PRIHODI I RASHODI-izvori'!I246</f>
        <v>1800</v>
      </c>
    </row>
    <row r="63" spans="1:8" hidden="1" x14ac:dyDescent="0.25">
      <c r="A63" s="38"/>
      <c r="B63" s="82">
        <v>3112</v>
      </c>
      <c r="C63" s="82" t="s">
        <v>92</v>
      </c>
      <c r="D63" s="80"/>
      <c r="E63" s="80"/>
      <c r="F63" s="80"/>
      <c r="G63" s="80"/>
      <c r="H63" s="80"/>
    </row>
    <row r="64" spans="1:8" x14ac:dyDescent="0.25">
      <c r="A64" s="38"/>
      <c r="B64" s="83">
        <v>3113</v>
      </c>
      <c r="C64" s="83" t="s">
        <v>94</v>
      </c>
      <c r="D64" s="84">
        <f t="shared" ref="D64:H64" si="5">D65</f>
        <v>0</v>
      </c>
      <c r="E64" s="84">
        <f t="shared" si="5"/>
        <v>0</v>
      </c>
      <c r="F64" s="84">
        <f t="shared" si="5"/>
        <v>170000</v>
      </c>
      <c r="G64" s="84">
        <f t="shared" si="5"/>
        <v>177000</v>
      </c>
      <c r="H64" s="84">
        <f t="shared" si="5"/>
        <v>184000</v>
      </c>
    </row>
    <row r="65" spans="1:8" x14ac:dyDescent="0.25">
      <c r="A65" s="38"/>
      <c r="B65" s="82">
        <v>31131</v>
      </c>
      <c r="C65" s="82" t="s">
        <v>94</v>
      </c>
      <c r="D65" s="80">
        <f>' PRIHODI I RASHODI-izvori'!E249</f>
        <v>0</v>
      </c>
      <c r="E65" s="80">
        <f>' PRIHODI I RASHODI-izvori'!F249</f>
        <v>0</v>
      </c>
      <c r="F65" s="80">
        <f>' PRIHODI I RASHODI-izvori'!G249</f>
        <v>170000</v>
      </c>
      <c r="G65" s="80">
        <f>' PRIHODI I RASHODI-izvori'!H249</f>
        <v>177000</v>
      </c>
      <c r="H65" s="80">
        <f>' PRIHODI I RASHODI-izvori'!I249</f>
        <v>184000</v>
      </c>
    </row>
    <row r="66" spans="1:8" x14ac:dyDescent="0.25">
      <c r="A66" s="38"/>
      <c r="B66" s="83">
        <v>312</v>
      </c>
      <c r="C66" s="83" t="s">
        <v>98</v>
      </c>
      <c r="D66" s="84" t="e">
        <f t="shared" ref="D66:H66" si="6">SUM(D67)</f>
        <v>#REF!</v>
      </c>
      <c r="E66" s="84" t="e">
        <f t="shared" si="6"/>
        <v>#REF!</v>
      </c>
      <c r="F66" s="84">
        <f t="shared" si="6"/>
        <v>514027.1</v>
      </c>
      <c r="G66" s="84">
        <f t="shared" si="6"/>
        <v>534181.55000000005</v>
      </c>
      <c r="H66" s="84">
        <f t="shared" si="6"/>
        <v>553478.37</v>
      </c>
    </row>
    <row r="67" spans="1:8" x14ac:dyDescent="0.25">
      <c r="A67" s="38"/>
      <c r="B67" s="83">
        <v>3121</v>
      </c>
      <c r="C67" s="83" t="s">
        <v>98</v>
      </c>
      <c r="D67" s="84" t="e">
        <f t="shared" ref="D67" si="7">SUM(D68:D74)</f>
        <v>#REF!</v>
      </c>
      <c r="E67" s="84" t="e">
        <f t="shared" ref="E67:H67" si="8">SUM(E68:E74)</f>
        <v>#REF!</v>
      </c>
      <c r="F67" s="84">
        <f t="shared" si="8"/>
        <v>514027.1</v>
      </c>
      <c r="G67" s="84">
        <f t="shared" si="8"/>
        <v>534181.55000000005</v>
      </c>
      <c r="H67" s="84">
        <f t="shared" si="8"/>
        <v>553478.37</v>
      </c>
    </row>
    <row r="68" spans="1:8" x14ac:dyDescent="0.25">
      <c r="A68" s="38"/>
      <c r="B68" s="82">
        <v>31212</v>
      </c>
      <c r="C68" s="82" t="s">
        <v>402</v>
      </c>
      <c r="D68" s="80">
        <f>' PRIHODI I RASHODI-izvori'!E254</f>
        <v>0</v>
      </c>
      <c r="E68" s="80">
        <f>' PRIHODI I RASHODI-izvori'!F254</f>
        <v>0</v>
      </c>
      <c r="F68" s="80">
        <f>' PRIHODI I RASHODI-izvori'!G254</f>
        <v>124500</v>
      </c>
      <c r="G68" s="80">
        <f>' PRIHODI I RASHODI-izvori'!H254</f>
        <v>128000</v>
      </c>
      <c r="H68" s="80">
        <f>' PRIHODI I RASHODI-izvori'!I254</f>
        <v>131500</v>
      </c>
    </row>
    <row r="69" spans="1:8" x14ac:dyDescent="0.25">
      <c r="A69" s="38"/>
      <c r="B69" s="82">
        <v>31213</v>
      </c>
      <c r="C69" s="82" t="s">
        <v>404</v>
      </c>
      <c r="D69" s="80" t="e">
        <f>' PRIHODI I RASHODI-izvori'!E255+' PRIHODI I RASHODI-izvori'!E115+' PRIHODI I RASHODI-izvori'!#REF!</f>
        <v>#REF!</v>
      </c>
      <c r="E69" s="80" t="e">
        <f>' PRIHODI I RASHODI-izvori'!F255+' PRIHODI I RASHODI-izvori'!F115+' PRIHODI I RASHODI-izvori'!#REF!</f>
        <v>#REF!</v>
      </c>
      <c r="F69" s="80">
        <f>' PRIHODI I RASHODI-izvori'!G115+' PRIHODI I RASHODI-izvori'!G255+' PRIHODI I RASHODI-izvori'!G520</f>
        <v>36000</v>
      </c>
      <c r="G69" s="80">
        <f>' PRIHODI I RASHODI-izvori'!H115+' PRIHODI I RASHODI-izvori'!H255+' PRIHODI I RASHODI-izvori'!H520</f>
        <v>38250</v>
      </c>
      <c r="H69" s="80">
        <f>' PRIHODI I RASHODI-izvori'!I115+' PRIHODI I RASHODI-izvori'!I255+' PRIHODI I RASHODI-izvori'!I520</f>
        <v>40550</v>
      </c>
    </row>
    <row r="70" spans="1:8" x14ac:dyDescent="0.25">
      <c r="A70" s="38"/>
      <c r="B70" s="82">
        <v>31214</v>
      </c>
      <c r="C70" s="82" t="s">
        <v>403</v>
      </c>
      <c r="D70" s="80">
        <f>' PRIHODI I RASHODI-izvori'!E256+' PRIHODI I RASHODI-izvori'!E116</f>
        <v>0</v>
      </c>
      <c r="E70" s="80">
        <f>' PRIHODI I RASHODI-izvori'!F256+' PRIHODI I RASHODI-izvori'!F116</f>
        <v>0</v>
      </c>
      <c r="F70" s="80">
        <f>' PRIHODI I RASHODI-izvori'!G256+' PRIHODI I RASHODI-izvori'!G116</f>
        <v>43000</v>
      </c>
      <c r="G70" s="80">
        <f>' PRIHODI I RASHODI-izvori'!H256+' PRIHODI I RASHODI-izvori'!H116</f>
        <v>45000</v>
      </c>
      <c r="H70" s="80">
        <f>' PRIHODI I RASHODI-izvori'!I256+' PRIHODI I RASHODI-izvori'!I116</f>
        <v>47000</v>
      </c>
    </row>
    <row r="71" spans="1:8" x14ac:dyDescent="0.25">
      <c r="A71" s="38"/>
      <c r="B71" s="82">
        <v>31215</v>
      </c>
      <c r="C71" s="82" t="s">
        <v>405</v>
      </c>
      <c r="D71" s="80">
        <f>' PRIHODI I RASHODI-izvori'!E257+' PRIHODI I RASHODI-izvori'!E117</f>
        <v>0</v>
      </c>
      <c r="E71" s="80">
        <f>' PRIHODI I RASHODI-izvori'!F257+' PRIHODI I RASHODI-izvori'!F117</f>
        <v>0</v>
      </c>
      <c r="F71" s="80">
        <f>' PRIHODI I RASHODI-izvori'!G257+' PRIHODI I RASHODI-izvori'!G117</f>
        <v>23800</v>
      </c>
      <c r="G71" s="80">
        <f>' PRIHODI I RASHODI-izvori'!H257+' PRIHODI I RASHODI-izvori'!H117</f>
        <v>26000</v>
      </c>
      <c r="H71" s="80">
        <f>' PRIHODI I RASHODI-izvori'!I257+' PRIHODI I RASHODI-izvori'!I117</f>
        <v>28200</v>
      </c>
    </row>
    <row r="72" spans="1:8" x14ac:dyDescent="0.25">
      <c r="A72" s="38"/>
      <c r="B72" s="82">
        <v>31216</v>
      </c>
      <c r="C72" s="82" t="s">
        <v>406</v>
      </c>
      <c r="D72" s="80" t="e">
        <f>' PRIHODI I RASHODI-izvori'!E258+' PRIHODI I RASHODI-izvori'!#REF!+' PRIHODI I RASHODI-izvori'!E118</f>
        <v>#REF!</v>
      </c>
      <c r="E72" s="80" t="e">
        <f>' PRIHODI I RASHODI-izvori'!F258+' PRIHODI I RASHODI-izvori'!#REF!+' PRIHODI I RASHODI-izvori'!F118</f>
        <v>#REF!</v>
      </c>
      <c r="F72" s="80">
        <f>' PRIHODI I RASHODI-izvori'!G118+' PRIHODI I RASHODI-izvori'!G258+' PRIHODI I RASHODI-izvori'!G521</f>
        <v>139250</v>
      </c>
      <c r="G72" s="80">
        <f>' PRIHODI I RASHODI-izvori'!H118+' PRIHODI I RASHODI-izvori'!H258+' PRIHODI I RASHODI-izvori'!H521</f>
        <v>143250</v>
      </c>
      <c r="H72" s="80">
        <f>' PRIHODI I RASHODI-izvori'!I118+' PRIHODI I RASHODI-izvori'!I258+' PRIHODI I RASHODI-izvori'!I521</f>
        <v>146950</v>
      </c>
    </row>
    <row r="73" spans="1:8" x14ac:dyDescent="0.25">
      <c r="A73" s="38"/>
      <c r="B73" s="82">
        <v>31217</v>
      </c>
      <c r="C73" s="82" t="s">
        <v>630</v>
      </c>
      <c r="D73" s="80" t="e">
        <f>' PRIHODI I RASHODI-izvori'!E119+' PRIHODI I RASHODI-izvori'!#REF!</f>
        <v>#REF!</v>
      </c>
      <c r="E73" s="80" t="e">
        <f>' PRIHODI I RASHODI-izvori'!F119+' PRIHODI I RASHODI-izvori'!#REF!</f>
        <v>#REF!</v>
      </c>
      <c r="F73" s="80">
        <f>' PRIHODI I RASHODI-izvori'!G119+' PRIHODI I RASHODI-izvori'!G522</f>
        <v>65000</v>
      </c>
      <c r="G73" s="80">
        <f>' PRIHODI I RASHODI-izvori'!H119+' PRIHODI I RASHODI-izvori'!H522</f>
        <v>66200</v>
      </c>
      <c r="H73" s="80">
        <f>' PRIHODI I RASHODI-izvori'!I119+' PRIHODI I RASHODI-izvori'!I522</f>
        <v>67480</v>
      </c>
    </row>
    <row r="74" spans="1:8" x14ac:dyDescent="0.25">
      <c r="A74" s="38"/>
      <c r="B74" s="82">
        <v>31219</v>
      </c>
      <c r="C74" s="82" t="s">
        <v>401</v>
      </c>
      <c r="D74" s="80" t="e">
        <f>' PRIHODI I RASHODI-izvori'!E259+' PRIHODI I RASHODI-izvori'!E120+' PRIHODI I RASHODI-izvori'!#REF!</f>
        <v>#REF!</v>
      </c>
      <c r="E74" s="80" t="e">
        <f>' PRIHODI I RASHODI-izvori'!F259+' PRIHODI I RASHODI-izvori'!F120+' PRIHODI I RASHODI-izvori'!#REF!</f>
        <v>#REF!</v>
      </c>
      <c r="F74" s="80">
        <f>' PRIHODI I RASHODI-izvori'!G120+' PRIHODI I RASHODI-izvori'!G259+' PRIHODI I RASHODI-izvori'!G523</f>
        <v>82477.099999999991</v>
      </c>
      <c r="G74" s="80">
        <f>' PRIHODI I RASHODI-izvori'!H120+' PRIHODI I RASHODI-izvori'!H259+' PRIHODI I RASHODI-izvori'!H523</f>
        <v>87481.55</v>
      </c>
      <c r="H74" s="80">
        <f>' PRIHODI I RASHODI-izvori'!I120+' PRIHODI I RASHODI-izvori'!I259+' PRIHODI I RASHODI-izvori'!I523</f>
        <v>91798.37</v>
      </c>
    </row>
    <row r="75" spans="1:8" x14ac:dyDescent="0.25">
      <c r="A75" s="38"/>
      <c r="B75" s="83">
        <v>313</v>
      </c>
      <c r="C75" s="83" t="s">
        <v>291</v>
      </c>
      <c r="D75" s="84" t="e">
        <f>D76+D77+D79</f>
        <v>#REF!</v>
      </c>
      <c r="E75" s="84" t="e">
        <f t="shared" ref="E75:H75" si="9">E76+E77+E79</f>
        <v>#REF!</v>
      </c>
      <c r="F75" s="84">
        <f t="shared" si="9"/>
        <v>2073219.91</v>
      </c>
      <c r="G75" s="84">
        <f t="shared" si="9"/>
        <v>2128859.58</v>
      </c>
      <c r="H75" s="84">
        <f t="shared" si="9"/>
        <v>2173819.2999999998</v>
      </c>
    </row>
    <row r="76" spans="1:8" hidden="1" x14ac:dyDescent="0.25">
      <c r="A76" s="54"/>
      <c r="B76" s="83">
        <v>3131</v>
      </c>
      <c r="C76" s="83" t="s">
        <v>226</v>
      </c>
      <c r="D76" s="80"/>
      <c r="E76" s="80"/>
      <c r="F76" s="80"/>
      <c r="G76" s="80"/>
      <c r="H76" s="80"/>
    </row>
    <row r="77" spans="1:8" x14ac:dyDescent="0.25">
      <c r="A77" s="54"/>
      <c r="B77" s="83">
        <v>3132</v>
      </c>
      <c r="C77" s="83" t="s">
        <v>292</v>
      </c>
      <c r="D77" s="84" t="e">
        <f t="shared" ref="D77:H77" si="10">D78</f>
        <v>#REF!</v>
      </c>
      <c r="E77" s="84" t="e">
        <f t="shared" si="10"/>
        <v>#REF!</v>
      </c>
      <c r="F77" s="84">
        <f t="shared" si="10"/>
        <v>2073219.91</v>
      </c>
      <c r="G77" s="84">
        <f t="shared" si="10"/>
        <v>2128859.58</v>
      </c>
      <c r="H77" s="84">
        <f t="shared" si="10"/>
        <v>2173819.2999999998</v>
      </c>
    </row>
    <row r="78" spans="1:8" x14ac:dyDescent="0.25">
      <c r="A78" s="38"/>
      <c r="B78" s="82">
        <v>31321</v>
      </c>
      <c r="C78" s="82" t="s">
        <v>292</v>
      </c>
      <c r="D78" s="80" t="e">
        <f>' PRIHODI I RASHODI-izvori'!E18+' PRIHODI I RASHODI-izvori'!E262+' PRIHODI I RASHODI-izvori'!E123+' PRIHODI I RASHODI-izvori'!E457</f>
        <v>#REF!</v>
      </c>
      <c r="E78" s="80" t="e">
        <f>' PRIHODI I RASHODI-izvori'!F18+' PRIHODI I RASHODI-izvori'!F262+' PRIHODI I RASHODI-izvori'!F123+' PRIHODI I RASHODI-izvori'!F457</f>
        <v>#REF!</v>
      </c>
      <c r="F78" s="80">
        <f>' PRIHODI I RASHODI-izvori'!G18+' PRIHODI I RASHODI-izvori'!G123+' PRIHODI I RASHODI-izvori'!G262+' PRIHODI I RASHODI-izvori'!G457+' PRIHODI I RASHODI-izvori'!G526</f>
        <v>2073219.91</v>
      </c>
      <c r="G78" s="80">
        <f>' PRIHODI I RASHODI-izvori'!H18+' PRIHODI I RASHODI-izvori'!H123+' PRIHODI I RASHODI-izvori'!H262+' PRIHODI I RASHODI-izvori'!H457+' PRIHODI I RASHODI-izvori'!H526</f>
        <v>2128859.58</v>
      </c>
      <c r="H78" s="80">
        <f>' PRIHODI I RASHODI-izvori'!I18+' PRIHODI I RASHODI-izvori'!I123+' PRIHODI I RASHODI-izvori'!I262+' PRIHODI I RASHODI-izvori'!I457+' PRIHODI I RASHODI-izvori'!I526</f>
        <v>2173819.2999999998</v>
      </c>
    </row>
    <row r="79" spans="1:8" hidden="1" x14ac:dyDescent="0.25">
      <c r="A79" s="38"/>
      <c r="B79" s="484">
        <v>3133</v>
      </c>
      <c r="C79" s="485" t="s">
        <v>563</v>
      </c>
      <c r="D79" s="84">
        <f>D80</f>
        <v>0</v>
      </c>
      <c r="E79" s="84">
        <f t="shared" ref="E79:H79" si="11">E80</f>
        <v>0</v>
      </c>
      <c r="F79" s="84">
        <f t="shared" si="11"/>
        <v>0</v>
      </c>
      <c r="G79" s="84">
        <f t="shared" si="11"/>
        <v>0</v>
      </c>
      <c r="H79" s="84">
        <f t="shared" si="11"/>
        <v>0</v>
      </c>
    </row>
    <row r="80" spans="1:8" hidden="1" x14ac:dyDescent="0.25">
      <c r="A80" s="38"/>
      <c r="B80" s="483">
        <v>31332</v>
      </c>
      <c r="C80" s="486" t="s">
        <v>564</v>
      </c>
      <c r="D80" s="80">
        <f>' PRIHODI I RASHODI-izvori'!E264</f>
        <v>0</v>
      </c>
      <c r="E80" s="80">
        <f>' PRIHODI I RASHODI-izvori'!F264</f>
        <v>0</v>
      </c>
      <c r="F80" s="80">
        <f>' PRIHODI I RASHODI-izvori'!G264</f>
        <v>0</v>
      </c>
      <c r="G80" s="80">
        <f>' PRIHODI I RASHODI-izvori'!H264</f>
        <v>0</v>
      </c>
      <c r="H80" s="80">
        <f>' PRIHODI I RASHODI-izvori'!I264</f>
        <v>0</v>
      </c>
    </row>
    <row r="81" spans="1:8" x14ac:dyDescent="0.25">
      <c r="A81" s="38"/>
      <c r="B81" s="98">
        <v>32</v>
      </c>
      <c r="C81" s="98" t="s">
        <v>102</v>
      </c>
      <c r="D81" s="99" t="e">
        <f>D82+D96+D125+D169+D172+D180</f>
        <v>#REF!</v>
      </c>
      <c r="E81" s="99" t="e">
        <f>E82+E96+E125+E169+E172+E180</f>
        <v>#REF!</v>
      </c>
      <c r="F81" s="99">
        <f>F82+F96+F125+F169+F172+F180</f>
        <v>10408621.08</v>
      </c>
      <c r="G81" s="99">
        <f>G82+G96+G125+G169+G172+G180</f>
        <v>10601104.98</v>
      </c>
      <c r="H81" s="99">
        <f>H82+H96+H125+H169+H172+H180</f>
        <v>10780503.91</v>
      </c>
    </row>
    <row r="82" spans="1:8" x14ac:dyDescent="0.25">
      <c r="A82" s="38"/>
      <c r="B82" s="83">
        <v>321</v>
      </c>
      <c r="C82" s="83" t="s">
        <v>103</v>
      </c>
      <c r="D82" s="84" t="e">
        <f t="shared" ref="D82:H82" si="12">D83+D88+D91+D94</f>
        <v>#REF!</v>
      </c>
      <c r="E82" s="84" t="e">
        <f t="shared" si="12"/>
        <v>#REF!</v>
      </c>
      <c r="F82" s="84">
        <f t="shared" si="12"/>
        <v>440172.59</v>
      </c>
      <c r="G82" s="84">
        <f t="shared" si="12"/>
        <v>446278.14</v>
      </c>
      <c r="H82" s="84">
        <f t="shared" si="12"/>
        <v>446091.08</v>
      </c>
    </row>
    <row r="83" spans="1:8" x14ac:dyDescent="0.25">
      <c r="A83" s="38"/>
      <c r="B83" s="83">
        <v>3211</v>
      </c>
      <c r="C83" s="83" t="s">
        <v>105</v>
      </c>
      <c r="D83" s="84" t="e">
        <f t="shared" ref="D83" si="13">SUM(D84:D87)</f>
        <v>#REF!</v>
      </c>
      <c r="E83" s="84" t="e">
        <f t="shared" ref="E83" si="14">SUM(E84:E87)</f>
        <v>#REF!</v>
      </c>
      <c r="F83" s="84">
        <f>SUM(F84:F87)</f>
        <v>32935.94</v>
      </c>
      <c r="G83" s="84">
        <f t="shared" ref="G83:H83" si="15">SUM(G84:G87)</f>
        <v>32375.940000000002</v>
      </c>
      <c r="H83" s="84">
        <f t="shared" si="15"/>
        <v>29703.57</v>
      </c>
    </row>
    <row r="84" spans="1:8" x14ac:dyDescent="0.25">
      <c r="A84" s="38"/>
      <c r="B84" s="82">
        <v>32111</v>
      </c>
      <c r="C84" s="82" t="s">
        <v>407</v>
      </c>
      <c r="D84" s="80" t="e">
        <f>' PRIHODI I RASHODI-izvori'!E268+' PRIHODI I RASHODI-izvori'!E461+' PRIHODI I RASHODI-izvori'!E553+' PRIHODI I RASHODI-izvori'!E127+' PRIHODI I RASHODI-izvori'!E22</f>
        <v>#REF!</v>
      </c>
      <c r="E84" s="80" t="e">
        <f>' PRIHODI I RASHODI-izvori'!F268+' PRIHODI I RASHODI-izvori'!F461+' PRIHODI I RASHODI-izvori'!F553+' PRIHODI I RASHODI-izvori'!F127+' PRIHODI I RASHODI-izvori'!F22</f>
        <v>#REF!</v>
      </c>
      <c r="F84" s="80">
        <f>' PRIHODI I RASHODI-izvori'!G22+' PRIHODI I RASHODI-izvori'!G127+' PRIHODI I RASHODI-izvori'!G268+' PRIHODI I RASHODI-izvori'!G461+' PRIHODI I RASHODI-izvori'!G500+' PRIHODI I RASHODI-izvori'!G530+' PRIHODI I RASHODI-izvori'!G553</f>
        <v>19322.330000000002</v>
      </c>
      <c r="G84" s="80">
        <f>' PRIHODI I RASHODI-izvori'!H22+' PRIHODI I RASHODI-izvori'!H127+' PRIHODI I RASHODI-izvori'!H268+' PRIHODI I RASHODI-izvori'!H461+' PRIHODI I RASHODI-izvori'!H500+' PRIHODI I RASHODI-izvori'!H530+' PRIHODI I RASHODI-izvori'!H553</f>
        <v>19322.330000000002</v>
      </c>
      <c r="H84" s="80">
        <f>' PRIHODI I RASHODI-izvori'!I22+' PRIHODI I RASHODI-izvori'!I127+' PRIHODI I RASHODI-izvori'!I268+' PRIHODI I RASHODI-izvori'!I461+' PRIHODI I RASHODI-izvori'!I500+' PRIHODI I RASHODI-izvori'!I530+' PRIHODI I RASHODI-izvori'!I553</f>
        <v>16209.96</v>
      </c>
    </row>
    <row r="85" spans="1:8" x14ac:dyDescent="0.25">
      <c r="A85" s="38"/>
      <c r="B85" s="82">
        <v>32113</v>
      </c>
      <c r="C85" s="82" t="s">
        <v>409</v>
      </c>
      <c r="D85" s="80" t="e">
        <f>' PRIHODI I RASHODI-izvori'!E269+' PRIHODI I RASHODI-izvori'!E462+' PRIHODI I RASHODI-izvori'!E128</f>
        <v>#REF!</v>
      </c>
      <c r="E85" s="80" t="e">
        <f>' PRIHODI I RASHODI-izvori'!F269+' PRIHODI I RASHODI-izvori'!F462+' PRIHODI I RASHODI-izvori'!F128</f>
        <v>#REF!</v>
      </c>
      <c r="F85" s="80">
        <f>' PRIHODI I RASHODI-izvori'!G128+' PRIHODI I RASHODI-izvori'!G269+' PRIHODI I RASHODI-izvori'!G462+' PRIHODI I RASHODI-izvori'!G531</f>
        <v>7600</v>
      </c>
      <c r="G85" s="80">
        <f>' PRIHODI I RASHODI-izvori'!H128+' PRIHODI I RASHODI-izvori'!H269+' PRIHODI I RASHODI-izvori'!H462+' PRIHODI I RASHODI-izvori'!H531</f>
        <v>7200</v>
      </c>
      <c r="H85" s="80">
        <f>' PRIHODI I RASHODI-izvori'!I128+' PRIHODI I RASHODI-izvori'!I269+' PRIHODI I RASHODI-izvori'!I462+' PRIHODI I RASHODI-izvori'!I531</f>
        <v>7400</v>
      </c>
    </row>
    <row r="86" spans="1:8" x14ac:dyDescent="0.25">
      <c r="A86" s="38"/>
      <c r="B86" s="82">
        <v>32115</v>
      </c>
      <c r="C86" s="82" t="s">
        <v>410</v>
      </c>
      <c r="D86" s="80" t="e">
        <f>' PRIHODI I RASHODI-izvori'!E270+' PRIHODI I RASHODI-izvori'!E129+' PRIHODI I RASHODI-izvori'!E554+' PRIHODI I RASHODI-izvori'!E463</f>
        <v>#REF!</v>
      </c>
      <c r="E86" s="80" t="e">
        <f>' PRIHODI I RASHODI-izvori'!F270+' PRIHODI I RASHODI-izvori'!F129+' PRIHODI I RASHODI-izvori'!F554+' PRIHODI I RASHODI-izvori'!F463</f>
        <v>#REF!</v>
      </c>
      <c r="F86" s="80">
        <f>' PRIHODI I RASHODI-izvori'!G129+' PRIHODI I RASHODI-izvori'!G270+' PRIHODI I RASHODI-izvori'!G463+' PRIHODI I RASHODI-izvori'!G532+' PRIHODI I RASHODI-izvori'!G554</f>
        <v>4863.6100000000006</v>
      </c>
      <c r="G86" s="80">
        <f>' PRIHODI I RASHODI-izvori'!H129+' PRIHODI I RASHODI-izvori'!H270+' PRIHODI I RASHODI-izvori'!H463+' PRIHODI I RASHODI-izvori'!H532+' PRIHODI I RASHODI-izvori'!H554</f>
        <v>4663.6100000000006</v>
      </c>
      <c r="H86" s="80">
        <f>' PRIHODI I RASHODI-izvori'!I129+' PRIHODI I RASHODI-izvori'!I270+' PRIHODI I RASHODI-izvori'!I463+' PRIHODI I RASHODI-izvori'!I532+' PRIHODI I RASHODI-izvori'!I554</f>
        <v>4863.6100000000006</v>
      </c>
    </row>
    <row r="87" spans="1:8" x14ac:dyDescent="0.25">
      <c r="A87" s="38"/>
      <c r="B87" s="82">
        <v>32119</v>
      </c>
      <c r="C87" s="82" t="s">
        <v>593</v>
      </c>
      <c r="D87" s="80">
        <f>' PRIHODI I RASHODI-izvori'!E271+' PRIHODI I RASHODI-izvori'!E130+' PRIHODI I RASHODI-izvori'!E23</f>
        <v>0</v>
      </c>
      <c r="E87" s="80">
        <f>' PRIHODI I RASHODI-izvori'!F271+' PRIHODI I RASHODI-izvori'!F130+' PRIHODI I RASHODI-izvori'!F23</f>
        <v>0</v>
      </c>
      <c r="F87" s="80">
        <f>' PRIHODI I RASHODI-izvori'!G23+' PRIHODI I RASHODI-izvori'!G130+' PRIHODI I RASHODI-izvori'!G271</f>
        <v>1150</v>
      </c>
      <c r="G87" s="80">
        <f>' PRIHODI I RASHODI-izvori'!H23+' PRIHODI I RASHODI-izvori'!H130+' PRIHODI I RASHODI-izvori'!H271</f>
        <v>1190</v>
      </c>
      <c r="H87" s="80">
        <f>' PRIHODI I RASHODI-izvori'!I23+' PRIHODI I RASHODI-izvori'!I130+' PRIHODI I RASHODI-izvori'!I271</f>
        <v>1230</v>
      </c>
    </row>
    <row r="88" spans="1:8" x14ac:dyDescent="0.25">
      <c r="A88" s="38"/>
      <c r="B88" s="83">
        <v>3212</v>
      </c>
      <c r="C88" s="83" t="s">
        <v>408</v>
      </c>
      <c r="D88" s="84" t="e">
        <f>SUM(D89:D90)</f>
        <v>#REF!</v>
      </c>
      <c r="E88" s="84" t="e">
        <f t="shared" ref="E88:H88" si="16">SUM(E89:E90)</f>
        <v>#REF!</v>
      </c>
      <c r="F88" s="84">
        <f t="shared" si="16"/>
        <v>383293.98000000004</v>
      </c>
      <c r="G88" s="84">
        <f t="shared" si="16"/>
        <v>390331.86</v>
      </c>
      <c r="H88" s="84">
        <f t="shared" si="16"/>
        <v>393601.21</v>
      </c>
    </row>
    <row r="89" spans="1:8" x14ac:dyDescent="0.25">
      <c r="A89" s="38"/>
      <c r="B89" s="82">
        <v>32121</v>
      </c>
      <c r="C89" s="82" t="s">
        <v>293</v>
      </c>
      <c r="D89" s="80" t="e">
        <f>' PRIHODI I RASHODI-izvori'!E273+' PRIHODI I RASHODI-izvori'!E132+' PRIHODI I RASHODI-izvori'!E465</f>
        <v>#REF!</v>
      </c>
      <c r="E89" s="80" t="e">
        <f>' PRIHODI I RASHODI-izvori'!F273+' PRIHODI I RASHODI-izvori'!F132+' PRIHODI I RASHODI-izvori'!F465</f>
        <v>#REF!</v>
      </c>
      <c r="F89" s="80">
        <f>' PRIHODI I RASHODI-izvori'!G132+' PRIHODI I RASHODI-izvori'!G273+' PRIHODI I RASHODI-izvori'!G465+' PRIHODI I RASHODI-izvori'!G534</f>
        <v>379293.98000000004</v>
      </c>
      <c r="G89" s="80">
        <f>' PRIHODI I RASHODI-izvori'!H132+' PRIHODI I RASHODI-izvori'!H273+' PRIHODI I RASHODI-izvori'!H465+' PRIHODI I RASHODI-izvori'!H534</f>
        <v>386331.86</v>
      </c>
      <c r="H89" s="80">
        <f>' PRIHODI I RASHODI-izvori'!I132+' PRIHODI I RASHODI-izvori'!I273+' PRIHODI I RASHODI-izvori'!I465+' PRIHODI I RASHODI-izvori'!I534</f>
        <v>389601.21</v>
      </c>
    </row>
    <row r="90" spans="1:8" x14ac:dyDescent="0.25">
      <c r="A90" s="38"/>
      <c r="B90" s="82">
        <v>32123</v>
      </c>
      <c r="C90" s="82" t="s">
        <v>632</v>
      </c>
      <c r="D90" s="80">
        <f>' PRIHODI I RASHODI-izvori'!E133</f>
        <v>0</v>
      </c>
      <c r="E90" s="80">
        <f>' PRIHODI I RASHODI-izvori'!F133</f>
        <v>0</v>
      </c>
      <c r="F90" s="80">
        <f>' PRIHODI I RASHODI-izvori'!G133</f>
        <v>4000</v>
      </c>
      <c r="G90" s="80">
        <f>' PRIHODI I RASHODI-izvori'!H133</f>
        <v>4000</v>
      </c>
      <c r="H90" s="80">
        <f>' PRIHODI I RASHODI-izvori'!I133</f>
        <v>4000</v>
      </c>
    </row>
    <row r="91" spans="1:8" x14ac:dyDescent="0.25">
      <c r="A91" s="38"/>
      <c r="B91" s="83">
        <v>3213</v>
      </c>
      <c r="C91" s="83" t="s">
        <v>109</v>
      </c>
      <c r="D91" s="84" t="e">
        <f t="shared" ref="D91:H91" si="17">SUM(D92:D93)</f>
        <v>#REF!</v>
      </c>
      <c r="E91" s="84" t="e">
        <f t="shared" si="17"/>
        <v>#REF!</v>
      </c>
      <c r="F91" s="84">
        <f t="shared" si="17"/>
        <v>23742.67</v>
      </c>
      <c r="G91" s="84">
        <f t="shared" si="17"/>
        <v>23370.34</v>
      </c>
      <c r="H91" s="84">
        <f t="shared" si="17"/>
        <v>22586.300000000003</v>
      </c>
    </row>
    <row r="92" spans="1:8" x14ac:dyDescent="0.25">
      <c r="A92" s="38"/>
      <c r="B92" s="82">
        <v>32131</v>
      </c>
      <c r="C92" s="82" t="s">
        <v>411</v>
      </c>
      <c r="D92" s="80" t="e">
        <f>' PRIHODI I RASHODI-izvori'!E275+' PRIHODI I RASHODI-izvori'!E135+' PRIHODI I RASHODI-izvori'!E25+' PRIHODI I RASHODI-izvori'!#REF!</f>
        <v>#REF!</v>
      </c>
      <c r="E92" s="80" t="e">
        <f>' PRIHODI I RASHODI-izvori'!F275+' PRIHODI I RASHODI-izvori'!F135+' PRIHODI I RASHODI-izvori'!F25+' PRIHODI I RASHODI-izvori'!#REF!</f>
        <v>#REF!</v>
      </c>
      <c r="F92" s="80">
        <f>' PRIHODI I RASHODI-izvori'!G25+' PRIHODI I RASHODI-izvori'!G135+' PRIHODI I RASHODI-izvori'!G275+' PRIHODI I RASHODI-izvori'!G502</f>
        <v>13100</v>
      </c>
      <c r="G92" s="80">
        <f>' PRIHODI I RASHODI-izvori'!H25+' PRIHODI I RASHODI-izvori'!H135+' PRIHODI I RASHODI-izvori'!H275+' PRIHODI I RASHODI-izvori'!H502</f>
        <v>13505.69</v>
      </c>
      <c r="H92" s="80">
        <f>' PRIHODI I RASHODI-izvori'!I25+' PRIHODI I RASHODI-izvori'!I135+' PRIHODI I RASHODI-izvori'!I275+' PRIHODI I RASHODI-izvori'!I502</f>
        <v>13980.69</v>
      </c>
    </row>
    <row r="93" spans="1:8" x14ac:dyDescent="0.25">
      <c r="A93" s="38"/>
      <c r="B93" s="82">
        <v>32132</v>
      </c>
      <c r="C93" s="82" t="s">
        <v>412</v>
      </c>
      <c r="D93" s="80" t="e">
        <f>' PRIHODI I RASHODI-izvori'!E276+' PRIHODI I RASHODI-izvori'!E136+' PRIHODI I RASHODI-izvori'!E467</f>
        <v>#REF!</v>
      </c>
      <c r="E93" s="80" t="e">
        <f>' PRIHODI I RASHODI-izvori'!F276+' PRIHODI I RASHODI-izvori'!F136+' PRIHODI I RASHODI-izvori'!F467</f>
        <v>#REF!</v>
      </c>
      <c r="F93" s="80">
        <f>' PRIHODI I RASHODI-izvori'!G136+' PRIHODI I RASHODI-izvori'!G276+' PRIHODI I RASHODI-izvori'!G467+' PRIHODI I RASHODI-izvori'!G536</f>
        <v>10642.67</v>
      </c>
      <c r="G93" s="80">
        <f>' PRIHODI I RASHODI-izvori'!H136+' PRIHODI I RASHODI-izvori'!H276+' PRIHODI I RASHODI-izvori'!H467+' PRIHODI I RASHODI-izvori'!H536</f>
        <v>9864.65</v>
      </c>
      <c r="H93" s="80">
        <f>' PRIHODI I RASHODI-izvori'!I136+' PRIHODI I RASHODI-izvori'!I276+' PRIHODI I RASHODI-izvori'!I467+' PRIHODI I RASHODI-izvori'!I536</f>
        <v>8605.61</v>
      </c>
    </row>
    <row r="94" spans="1:8" x14ac:dyDescent="0.25">
      <c r="A94" s="38"/>
      <c r="B94" s="83">
        <v>3214</v>
      </c>
      <c r="C94" s="83" t="s">
        <v>111</v>
      </c>
      <c r="D94" s="84">
        <f t="shared" ref="D94:H94" si="18">D95</f>
        <v>0</v>
      </c>
      <c r="E94" s="84">
        <f t="shared" si="18"/>
        <v>0</v>
      </c>
      <c r="F94" s="84">
        <f t="shared" si="18"/>
        <v>200</v>
      </c>
      <c r="G94" s="84">
        <f t="shared" si="18"/>
        <v>200</v>
      </c>
      <c r="H94" s="84">
        <f t="shared" si="18"/>
        <v>200</v>
      </c>
    </row>
    <row r="95" spans="1:8" x14ac:dyDescent="0.25">
      <c r="A95" s="38"/>
      <c r="B95" s="82">
        <v>32141</v>
      </c>
      <c r="C95" s="82" t="s">
        <v>413</v>
      </c>
      <c r="D95" s="80">
        <f>' PRIHODI I RASHODI-izvori'!E278</f>
        <v>0</v>
      </c>
      <c r="E95" s="80">
        <f>' PRIHODI I RASHODI-izvori'!F278</f>
        <v>0</v>
      </c>
      <c r="F95" s="80">
        <f>' PRIHODI I RASHODI-izvori'!G278</f>
        <v>200</v>
      </c>
      <c r="G95" s="80">
        <f>' PRIHODI I RASHODI-izvori'!H278</f>
        <v>200</v>
      </c>
      <c r="H95" s="80">
        <f>' PRIHODI I RASHODI-izvori'!I278</f>
        <v>200</v>
      </c>
    </row>
    <row r="96" spans="1:8" x14ac:dyDescent="0.25">
      <c r="A96" s="38"/>
      <c r="B96" s="83">
        <v>322</v>
      </c>
      <c r="C96" s="83" t="s">
        <v>113</v>
      </c>
      <c r="D96" s="84" t="e">
        <f>D97+D104+D110+D115+D120+D123</f>
        <v>#REF!</v>
      </c>
      <c r="E96" s="84" t="e">
        <f>E97+E104+E110+E115+E120+E123</f>
        <v>#REF!</v>
      </c>
      <c r="F96" s="84">
        <f>F97+F104+F110+F115+F120+F123</f>
        <v>3476735.4899999998</v>
      </c>
      <c r="G96" s="84">
        <f>G97+G104+G110+G115+G120+G123</f>
        <v>3523632.39</v>
      </c>
      <c r="H96" s="84">
        <f>H97+H104+H110+H115+H120+H123</f>
        <v>3571536.98</v>
      </c>
    </row>
    <row r="97" spans="1:8" x14ac:dyDescent="0.25">
      <c r="A97" s="38"/>
      <c r="B97" s="83">
        <v>3221</v>
      </c>
      <c r="C97" s="83" t="s">
        <v>115</v>
      </c>
      <c r="D97" s="84" t="e">
        <f t="shared" ref="D97:H97" si="19">SUM(D98:D103)</f>
        <v>#REF!</v>
      </c>
      <c r="E97" s="84" t="e">
        <f t="shared" si="19"/>
        <v>#REF!</v>
      </c>
      <c r="F97" s="84">
        <f t="shared" si="19"/>
        <v>138033.03</v>
      </c>
      <c r="G97" s="84">
        <f t="shared" si="19"/>
        <v>145150</v>
      </c>
      <c r="H97" s="84">
        <f t="shared" si="19"/>
        <v>155250</v>
      </c>
    </row>
    <row r="98" spans="1:8" x14ac:dyDescent="0.25">
      <c r="A98" s="38"/>
      <c r="B98" s="82">
        <v>32211</v>
      </c>
      <c r="C98" s="82" t="s">
        <v>414</v>
      </c>
      <c r="D98" s="80" t="e">
        <f>' PRIHODI I RASHODI-izvori'!E281+' PRIHODI I RASHODI-izvori'!E140+' PRIHODI I RASHODI-izvori'!E28+' PRIHODI I RASHODI-izvori'!E470</f>
        <v>#REF!</v>
      </c>
      <c r="E98" s="80" t="e">
        <f>' PRIHODI I RASHODI-izvori'!F281+' PRIHODI I RASHODI-izvori'!F140+' PRIHODI I RASHODI-izvori'!F28+' PRIHODI I RASHODI-izvori'!F470</f>
        <v>#REF!</v>
      </c>
      <c r="F98" s="80">
        <f>' PRIHODI I RASHODI-izvori'!G281+' PRIHODI I RASHODI-izvori'!G140+' PRIHODI I RASHODI-izvori'!G28+' PRIHODI I RASHODI-izvori'!G470</f>
        <v>49833.03</v>
      </c>
      <c r="G98" s="80">
        <f>' PRIHODI I RASHODI-izvori'!H281+' PRIHODI I RASHODI-izvori'!H140+' PRIHODI I RASHODI-izvori'!H28+' PRIHODI I RASHODI-izvori'!H470</f>
        <v>53000</v>
      </c>
      <c r="H98" s="80">
        <f>' PRIHODI I RASHODI-izvori'!I281+' PRIHODI I RASHODI-izvori'!I140+' PRIHODI I RASHODI-izvori'!I28+' PRIHODI I RASHODI-izvori'!I470</f>
        <v>57850</v>
      </c>
    </row>
    <row r="99" spans="1:8" x14ac:dyDescent="0.25">
      <c r="A99" s="38"/>
      <c r="B99" s="82">
        <v>32212</v>
      </c>
      <c r="C99" s="82" t="s">
        <v>415</v>
      </c>
      <c r="D99" s="80">
        <f>' PRIHODI I RASHODI-izvori'!E282</f>
        <v>0</v>
      </c>
      <c r="E99" s="80">
        <f>' PRIHODI I RASHODI-izvori'!F282</f>
        <v>0</v>
      </c>
      <c r="F99" s="80">
        <f>' PRIHODI I RASHODI-izvori'!G282</f>
        <v>1500</v>
      </c>
      <c r="G99" s="80">
        <f>' PRIHODI I RASHODI-izvori'!H282</f>
        <v>1650</v>
      </c>
      <c r="H99" s="80">
        <f>' PRIHODI I RASHODI-izvori'!I282</f>
        <v>1800</v>
      </c>
    </row>
    <row r="100" spans="1:8" x14ac:dyDescent="0.25">
      <c r="A100" s="38"/>
      <c r="B100" s="82">
        <v>32214</v>
      </c>
      <c r="C100" s="82" t="s">
        <v>416</v>
      </c>
      <c r="D100" s="80" t="e">
        <f>' PRIHODI I RASHODI-izvori'!E283+' PRIHODI I RASHODI-izvori'!E29</f>
        <v>#REF!</v>
      </c>
      <c r="E100" s="80" t="e">
        <f>' PRIHODI I RASHODI-izvori'!F283+' PRIHODI I RASHODI-izvori'!F29</f>
        <v>#REF!</v>
      </c>
      <c r="F100" s="80">
        <f>' PRIHODI I RASHODI-izvori'!G283+' PRIHODI I RASHODI-izvori'!G29</f>
        <v>58500</v>
      </c>
      <c r="G100" s="80">
        <f>' PRIHODI I RASHODI-izvori'!H283+' PRIHODI I RASHODI-izvori'!H29</f>
        <v>61000</v>
      </c>
      <c r="H100" s="80">
        <f>' PRIHODI I RASHODI-izvori'!I283+' PRIHODI I RASHODI-izvori'!I29</f>
        <v>63500</v>
      </c>
    </row>
    <row r="101" spans="1:8" x14ac:dyDescent="0.25">
      <c r="A101" s="38"/>
      <c r="B101" s="82">
        <v>32215</v>
      </c>
      <c r="C101" s="82" t="s">
        <v>417</v>
      </c>
      <c r="D101" s="80">
        <f>' PRIHODI I RASHODI-izvori'!E284</f>
        <v>0</v>
      </c>
      <c r="E101" s="80">
        <f>' PRIHODI I RASHODI-izvori'!F284</f>
        <v>0</v>
      </c>
      <c r="F101" s="80">
        <f>' PRIHODI I RASHODI-izvori'!G284</f>
        <v>500</v>
      </c>
      <c r="G101" s="80">
        <f>' PRIHODI I RASHODI-izvori'!H284</f>
        <v>700</v>
      </c>
      <c r="H101" s="80">
        <f>' PRIHODI I RASHODI-izvori'!I284</f>
        <v>900</v>
      </c>
    </row>
    <row r="102" spans="1:8" x14ac:dyDescent="0.25">
      <c r="A102" s="38"/>
      <c r="B102" s="82">
        <v>32216</v>
      </c>
      <c r="C102" s="57" t="s">
        <v>595</v>
      </c>
      <c r="D102" s="80">
        <f>' PRIHODI I RASHODI-izvori'!E285</f>
        <v>0</v>
      </c>
      <c r="E102" s="80">
        <f>' PRIHODI I RASHODI-izvori'!F285</f>
        <v>0</v>
      </c>
      <c r="F102" s="80">
        <f>' PRIHODI I RASHODI-izvori'!G285</f>
        <v>25000</v>
      </c>
      <c r="G102" s="80">
        <f>' PRIHODI I RASHODI-izvori'!H285</f>
        <v>27000</v>
      </c>
      <c r="H102" s="80">
        <f>' PRIHODI I RASHODI-izvori'!I285</f>
        <v>29000</v>
      </c>
    </row>
    <row r="103" spans="1:8" x14ac:dyDescent="0.25">
      <c r="A103" s="38"/>
      <c r="B103" s="82">
        <v>32219</v>
      </c>
      <c r="C103" s="82" t="s">
        <v>418</v>
      </c>
      <c r="D103" s="80">
        <f>' PRIHODI I RASHODI-izvori'!E286+' PRIHODI I RASHODI-izvori'!E471</f>
        <v>0</v>
      </c>
      <c r="E103" s="80">
        <f>' PRIHODI I RASHODI-izvori'!F286+' PRIHODI I RASHODI-izvori'!F471</f>
        <v>0</v>
      </c>
      <c r="F103" s="80">
        <f>' PRIHODI I RASHODI-izvori'!G286+' PRIHODI I RASHODI-izvori'!G471</f>
        <v>2700</v>
      </c>
      <c r="G103" s="80">
        <f>' PRIHODI I RASHODI-izvori'!H286+' PRIHODI I RASHODI-izvori'!H471</f>
        <v>1800</v>
      </c>
      <c r="H103" s="80">
        <f>' PRIHODI I RASHODI-izvori'!I286+' PRIHODI I RASHODI-izvori'!I471</f>
        <v>2200</v>
      </c>
    </row>
    <row r="104" spans="1:8" x14ac:dyDescent="0.25">
      <c r="A104" s="38"/>
      <c r="B104" s="83">
        <v>3222</v>
      </c>
      <c r="C104" s="83" t="s">
        <v>117</v>
      </c>
      <c r="D104" s="84" t="e">
        <f>SUM(D105:D109)</f>
        <v>#REF!</v>
      </c>
      <c r="E104" s="84" t="e">
        <f>SUM(E105:E109)</f>
        <v>#REF!</v>
      </c>
      <c r="F104" s="84">
        <f>SUM(F105:F109)</f>
        <v>2956455</v>
      </c>
      <c r="G104" s="84">
        <f>SUM(G105:G109)</f>
        <v>2982990.29</v>
      </c>
      <c r="H104" s="84">
        <f>SUM(H105:H109)</f>
        <v>3006994.88</v>
      </c>
    </row>
    <row r="105" spans="1:8" hidden="1" x14ac:dyDescent="0.25">
      <c r="A105" s="38"/>
      <c r="B105" s="82">
        <v>32221</v>
      </c>
      <c r="C105" s="82" t="s">
        <v>419</v>
      </c>
      <c r="D105" s="80" t="e">
        <f>' PRIHODI I RASHODI-izvori'!E288+' PRIHODI I RASHODI-izvori'!E142+' PRIHODI I RASHODI-izvori'!E31</f>
        <v>#REF!</v>
      </c>
      <c r="E105" s="80" t="e">
        <f>' PRIHODI I RASHODI-izvori'!F288+' PRIHODI I RASHODI-izvori'!F142+' PRIHODI I RASHODI-izvori'!F31</f>
        <v>#REF!</v>
      </c>
      <c r="F105" s="80">
        <f>' PRIHODI I RASHODI-izvori'!G288+' PRIHODI I RASHODI-izvori'!G142+' PRIHODI I RASHODI-izvori'!G31</f>
        <v>0</v>
      </c>
      <c r="G105" s="80">
        <f>' PRIHODI I RASHODI-izvori'!H288+' PRIHODI I RASHODI-izvori'!H142+' PRIHODI I RASHODI-izvori'!H31</f>
        <v>0</v>
      </c>
      <c r="H105" s="80">
        <f>' PRIHODI I RASHODI-izvori'!I288+' PRIHODI I RASHODI-izvori'!I142+' PRIHODI I RASHODI-izvori'!I31</f>
        <v>0</v>
      </c>
    </row>
    <row r="106" spans="1:8" x14ac:dyDescent="0.25">
      <c r="A106" s="38"/>
      <c r="B106" s="82">
        <v>32224</v>
      </c>
      <c r="C106" s="82" t="s">
        <v>598</v>
      </c>
      <c r="D106" s="80">
        <f>' PRIHODI I RASHODI-izvori'!E289</f>
        <v>0</v>
      </c>
      <c r="E106" s="80">
        <f>' PRIHODI I RASHODI-izvori'!F289</f>
        <v>0</v>
      </c>
      <c r="F106" s="80">
        <f>' PRIHODI I RASHODI-izvori'!G289</f>
        <v>12000</v>
      </c>
      <c r="G106" s="80">
        <f>' PRIHODI I RASHODI-izvori'!H289</f>
        <v>13000</v>
      </c>
      <c r="H106" s="80">
        <f>' PRIHODI I RASHODI-izvori'!I289</f>
        <v>14000</v>
      </c>
    </row>
    <row r="107" spans="1:8" x14ac:dyDescent="0.25">
      <c r="A107" s="38"/>
      <c r="B107" s="82">
        <v>32225</v>
      </c>
      <c r="C107" s="82" t="s">
        <v>599</v>
      </c>
      <c r="D107" s="80">
        <f>' PRIHODI I RASHODI-izvori'!E290</f>
        <v>0</v>
      </c>
      <c r="E107" s="80">
        <f>' PRIHODI I RASHODI-izvori'!F290</f>
        <v>0</v>
      </c>
      <c r="F107" s="80">
        <f>' PRIHODI I RASHODI-izvori'!G32+' PRIHODI I RASHODI-izvori'!G290</f>
        <v>2944455</v>
      </c>
      <c r="G107" s="80">
        <f>' PRIHODI I RASHODI-izvori'!H32+' PRIHODI I RASHODI-izvori'!H290</f>
        <v>2969990.29</v>
      </c>
      <c r="H107" s="80">
        <f>' PRIHODI I RASHODI-izvori'!I32+' PRIHODI I RASHODI-izvori'!I290</f>
        <v>2992994.88</v>
      </c>
    </row>
    <row r="108" spans="1:8" hidden="1" x14ac:dyDescent="0.25">
      <c r="A108" s="38"/>
      <c r="B108" s="82">
        <v>32226</v>
      </c>
      <c r="C108" s="82" t="s">
        <v>420</v>
      </c>
      <c r="D108" s="80">
        <f>' PRIHODI I RASHODI-izvori'!E291+' PRIHODI I RASHODI-izvori'!E143</f>
        <v>0</v>
      </c>
      <c r="E108" s="80">
        <f>' PRIHODI I RASHODI-izvori'!F291+' PRIHODI I RASHODI-izvori'!F143</f>
        <v>0</v>
      </c>
      <c r="F108" s="80">
        <f>' PRIHODI I RASHODI-izvori'!G291+' PRIHODI I RASHODI-izvori'!G143</f>
        <v>0</v>
      </c>
      <c r="G108" s="80">
        <f>' PRIHODI I RASHODI-izvori'!H291+' PRIHODI I RASHODI-izvori'!H143</f>
        <v>0</v>
      </c>
      <c r="H108" s="80">
        <f>' PRIHODI I RASHODI-izvori'!I291+' PRIHODI I RASHODI-izvori'!I143</f>
        <v>0</v>
      </c>
    </row>
    <row r="109" spans="1:8" hidden="1" x14ac:dyDescent="0.25">
      <c r="A109" s="38"/>
      <c r="B109" s="82">
        <v>32229</v>
      </c>
      <c r="C109" s="82" t="s">
        <v>421</v>
      </c>
      <c r="D109" s="80">
        <f>' PRIHODI I RASHODI-izvori'!E292</f>
        <v>0</v>
      </c>
      <c r="E109" s="80">
        <f>' PRIHODI I RASHODI-izvori'!F292</f>
        <v>0</v>
      </c>
      <c r="F109" s="80">
        <f>' PRIHODI I RASHODI-izvori'!G292</f>
        <v>0</v>
      </c>
      <c r="G109" s="80">
        <f>' PRIHODI I RASHODI-izvori'!H292</f>
        <v>0</v>
      </c>
      <c r="H109" s="80">
        <f>' PRIHODI I RASHODI-izvori'!I292</f>
        <v>0</v>
      </c>
    </row>
    <row r="110" spans="1:8" x14ac:dyDescent="0.25">
      <c r="A110" s="38"/>
      <c r="B110" s="83">
        <v>3223</v>
      </c>
      <c r="C110" s="83" t="s">
        <v>119</v>
      </c>
      <c r="D110" s="84" t="e">
        <f t="shared" ref="D110:H110" si="20">SUM(D111:D114)</f>
        <v>#REF!</v>
      </c>
      <c r="E110" s="84" t="e">
        <f t="shared" si="20"/>
        <v>#REF!</v>
      </c>
      <c r="F110" s="84">
        <f t="shared" si="20"/>
        <v>340505.36</v>
      </c>
      <c r="G110" s="84">
        <f t="shared" si="20"/>
        <v>348500</v>
      </c>
      <c r="H110" s="84">
        <f t="shared" si="20"/>
        <v>357050</v>
      </c>
    </row>
    <row r="111" spans="1:8" x14ac:dyDescent="0.25">
      <c r="A111" s="38"/>
      <c r="B111" s="82">
        <v>32231</v>
      </c>
      <c r="C111" s="82" t="s">
        <v>423</v>
      </c>
      <c r="D111" s="80" t="e">
        <f>' PRIHODI I RASHODI-izvori'!E294+' PRIHODI I RASHODI-izvori'!E34</f>
        <v>#REF!</v>
      </c>
      <c r="E111" s="80" t="e">
        <f>' PRIHODI I RASHODI-izvori'!F294+' PRIHODI I RASHODI-izvori'!F34</f>
        <v>#REF!</v>
      </c>
      <c r="F111" s="80">
        <f>' PRIHODI I RASHODI-izvori'!G294+' PRIHODI I RASHODI-izvori'!G34</f>
        <v>142000</v>
      </c>
      <c r="G111" s="80">
        <f>' PRIHODI I RASHODI-izvori'!H294+' PRIHODI I RASHODI-izvori'!H34</f>
        <v>144000</v>
      </c>
      <c r="H111" s="80">
        <f>' PRIHODI I RASHODI-izvori'!I294+' PRIHODI I RASHODI-izvori'!I34</f>
        <v>146000</v>
      </c>
    </row>
    <row r="112" spans="1:8" x14ac:dyDescent="0.25">
      <c r="A112" s="38"/>
      <c r="B112" s="82">
        <v>32232</v>
      </c>
      <c r="C112" s="82" t="s">
        <v>424</v>
      </c>
      <c r="D112" s="80">
        <f>' PRIHODI I RASHODI-izvori'!E295</f>
        <v>0</v>
      </c>
      <c r="E112" s="80">
        <f>' PRIHODI I RASHODI-izvori'!F295</f>
        <v>0</v>
      </c>
      <c r="F112" s="80">
        <f>' PRIHODI I RASHODI-izvori'!G295</f>
        <v>2200</v>
      </c>
      <c r="G112" s="80">
        <f>' PRIHODI I RASHODI-izvori'!H295</f>
        <v>2500</v>
      </c>
      <c r="H112" s="80">
        <f>' PRIHODI I RASHODI-izvori'!I295</f>
        <v>2800</v>
      </c>
    </row>
    <row r="113" spans="1:8" x14ac:dyDescent="0.25">
      <c r="A113" s="38"/>
      <c r="B113" s="82">
        <v>32233</v>
      </c>
      <c r="C113" s="82" t="s">
        <v>425</v>
      </c>
      <c r="D113" s="80" t="e">
        <f>' PRIHODI I RASHODI-izvori'!E296+' PRIHODI I RASHODI-izvori'!E145+' PRIHODI I RASHODI-izvori'!E35</f>
        <v>#REF!</v>
      </c>
      <c r="E113" s="80" t="e">
        <f>' PRIHODI I RASHODI-izvori'!F296+' PRIHODI I RASHODI-izvori'!F145+' PRIHODI I RASHODI-izvori'!F35</f>
        <v>#REF!</v>
      </c>
      <c r="F113" s="80">
        <f>' PRIHODI I RASHODI-izvori'!G296+' PRIHODI I RASHODI-izvori'!G145+' PRIHODI I RASHODI-izvori'!G35</f>
        <v>148500</v>
      </c>
      <c r="G113" s="80">
        <f>' PRIHODI I RASHODI-izvori'!H296+' PRIHODI I RASHODI-izvori'!H145+' PRIHODI I RASHODI-izvori'!H35</f>
        <v>153500</v>
      </c>
      <c r="H113" s="80">
        <f>' PRIHODI I RASHODI-izvori'!I296+' PRIHODI I RASHODI-izvori'!I145+' PRIHODI I RASHODI-izvori'!I35</f>
        <v>158500</v>
      </c>
    </row>
    <row r="114" spans="1:8" x14ac:dyDescent="0.25">
      <c r="A114" s="38"/>
      <c r="B114" s="82">
        <v>32234</v>
      </c>
      <c r="C114" s="82" t="s">
        <v>422</v>
      </c>
      <c r="D114" s="80">
        <f>' PRIHODI I RASHODI-izvori'!E297+' PRIHODI I RASHODI-izvori'!E146+' PRIHODI I RASHODI-izvori'!E474+' PRIHODI I RASHODI-izvori'!E36</f>
        <v>0</v>
      </c>
      <c r="E114" s="80">
        <f>' PRIHODI I RASHODI-izvori'!F297+' PRIHODI I RASHODI-izvori'!F146+' PRIHODI I RASHODI-izvori'!F474+' PRIHODI I RASHODI-izvori'!F36</f>
        <v>0</v>
      </c>
      <c r="F114" s="80">
        <f>' PRIHODI I RASHODI-izvori'!G36+' PRIHODI I RASHODI-izvori'!G146+' PRIHODI I RASHODI-izvori'!G297+' PRIHODI I RASHODI-izvori'!G474</f>
        <v>47805.36</v>
      </c>
      <c r="G114" s="80">
        <f>' PRIHODI I RASHODI-izvori'!H36+' PRIHODI I RASHODI-izvori'!H146+' PRIHODI I RASHODI-izvori'!H297+' PRIHODI I RASHODI-izvori'!H474</f>
        <v>48500</v>
      </c>
      <c r="H114" s="80">
        <f>' PRIHODI I RASHODI-izvori'!I36+' PRIHODI I RASHODI-izvori'!I146+' PRIHODI I RASHODI-izvori'!I297+' PRIHODI I RASHODI-izvori'!I474</f>
        <v>49750</v>
      </c>
    </row>
    <row r="115" spans="1:8" x14ac:dyDescent="0.25">
      <c r="A115" s="38"/>
      <c r="B115" s="83">
        <v>3224</v>
      </c>
      <c r="C115" s="83" t="s">
        <v>294</v>
      </c>
      <c r="D115" s="84" t="e">
        <f t="shared" ref="D115:H115" si="21">SUM(D116:D119)</f>
        <v>#REF!</v>
      </c>
      <c r="E115" s="84" t="e">
        <f t="shared" si="21"/>
        <v>#REF!</v>
      </c>
      <c r="F115" s="84">
        <f t="shared" si="21"/>
        <v>19742.099999999999</v>
      </c>
      <c r="G115" s="84">
        <f t="shared" si="21"/>
        <v>21492.1</v>
      </c>
      <c r="H115" s="84">
        <f t="shared" si="21"/>
        <v>23242.1</v>
      </c>
    </row>
    <row r="116" spans="1:8" x14ac:dyDescent="0.25">
      <c r="A116" s="38"/>
      <c r="B116" s="82">
        <v>32241</v>
      </c>
      <c r="C116" s="82" t="s">
        <v>426</v>
      </c>
      <c r="D116" s="80" t="e">
        <f>' PRIHODI I RASHODI-izvori'!E38+' PRIHODI I RASHODI-izvori'!E299+' PRIHODI I RASHODI-izvori'!E558</f>
        <v>#REF!</v>
      </c>
      <c r="E116" s="80" t="e">
        <f>' PRIHODI I RASHODI-izvori'!F38+' PRIHODI I RASHODI-izvori'!F299+' PRIHODI I RASHODI-izvori'!F558</f>
        <v>#REF!</v>
      </c>
      <c r="F116" s="80">
        <f>' PRIHODI I RASHODI-izvori'!G38+' PRIHODI I RASHODI-izvori'!G299+' PRIHODI I RASHODI-izvori'!G558</f>
        <v>7192.1</v>
      </c>
      <c r="G116" s="80">
        <f>' PRIHODI I RASHODI-izvori'!H38+' PRIHODI I RASHODI-izvori'!H299+' PRIHODI I RASHODI-izvori'!H558</f>
        <v>7692.1</v>
      </c>
      <c r="H116" s="80">
        <f>' PRIHODI I RASHODI-izvori'!I38+' PRIHODI I RASHODI-izvori'!I299+' PRIHODI I RASHODI-izvori'!I558</f>
        <v>8192.1</v>
      </c>
    </row>
    <row r="117" spans="1:8" x14ac:dyDescent="0.25">
      <c r="A117" s="38"/>
      <c r="B117" s="82">
        <v>32242</v>
      </c>
      <c r="C117" s="82" t="s">
        <v>428</v>
      </c>
      <c r="D117" s="80" t="e">
        <f>' PRIHODI I RASHODI-izvori'!E300+' PRIHODI I RASHODI-izvori'!E39</f>
        <v>#REF!</v>
      </c>
      <c r="E117" s="80" t="e">
        <f>' PRIHODI I RASHODI-izvori'!F300+' PRIHODI I RASHODI-izvori'!F39</f>
        <v>#REF!</v>
      </c>
      <c r="F117" s="80">
        <f>' PRIHODI I RASHODI-izvori'!G300+' PRIHODI I RASHODI-izvori'!G39</f>
        <v>2750</v>
      </c>
      <c r="G117" s="80">
        <f>' PRIHODI I RASHODI-izvori'!H300+' PRIHODI I RASHODI-izvori'!H39</f>
        <v>3000</v>
      </c>
      <c r="H117" s="80">
        <f>' PRIHODI I RASHODI-izvori'!I300+' PRIHODI I RASHODI-izvori'!I39</f>
        <v>3250</v>
      </c>
    </row>
    <row r="118" spans="1:8" x14ac:dyDescent="0.25">
      <c r="A118" s="38"/>
      <c r="B118" s="82">
        <v>32243</v>
      </c>
      <c r="C118" s="82" t="s">
        <v>427</v>
      </c>
      <c r="D118" s="80">
        <f>' PRIHODI I RASHODI-izvori'!E301</f>
        <v>0</v>
      </c>
      <c r="E118" s="80">
        <f>' PRIHODI I RASHODI-izvori'!F301</f>
        <v>0</v>
      </c>
      <c r="F118" s="80">
        <f>' PRIHODI I RASHODI-izvori'!G301</f>
        <v>6500</v>
      </c>
      <c r="G118" s="80">
        <f>' PRIHODI I RASHODI-izvori'!H301</f>
        <v>7000</v>
      </c>
      <c r="H118" s="80">
        <f>' PRIHODI I RASHODI-izvori'!I301</f>
        <v>7500</v>
      </c>
    </row>
    <row r="119" spans="1:8" x14ac:dyDescent="0.25">
      <c r="A119" s="38"/>
      <c r="B119" s="82">
        <v>32244</v>
      </c>
      <c r="C119" s="82" t="s">
        <v>429</v>
      </c>
      <c r="D119" s="80" t="e">
        <f>' PRIHODI I RASHODI-izvori'!E302+' PRIHODI I RASHODI-izvori'!E40</f>
        <v>#REF!</v>
      </c>
      <c r="E119" s="80" t="e">
        <f>' PRIHODI I RASHODI-izvori'!F302+' PRIHODI I RASHODI-izvori'!F40</f>
        <v>#REF!</v>
      </c>
      <c r="F119" s="80">
        <f>' PRIHODI I RASHODI-izvori'!G302+' PRIHODI I RASHODI-izvori'!G40</f>
        <v>3300</v>
      </c>
      <c r="G119" s="80">
        <f>' PRIHODI I RASHODI-izvori'!H302+' PRIHODI I RASHODI-izvori'!H40</f>
        <v>3800</v>
      </c>
      <c r="H119" s="80">
        <f>' PRIHODI I RASHODI-izvori'!I302+' PRIHODI I RASHODI-izvori'!I40</f>
        <v>4300</v>
      </c>
    </row>
    <row r="120" spans="1:8" x14ac:dyDescent="0.25">
      <c r="A120" s="38"/>
      <c r="B120" s="83">
        <v>3225</v>
      </c>
      <c r="C120" s="83" t="s">
        <v>123</v>
      </c>
      <c r="D120" s="84">
        <f t="shared" ref="D120" si="22">SUM(D121:D122)</f>
        <v>0</v>
      </c>
      <c r="E120" s="84">
        <f t="shared" ref="E120" si="23">SUM(E121:E122)</f>
        <v>0</v>
      </c>
      <c r="F120" s="84">
        <f>SUM(F121:F122)</f>
        <v>16500</v>
      </c>
      <c r="G120" s="84">
        <f t="shared" ref="G120:H120" si="24">SUM(G121:G122)</f>
        <v>19000</v>
      </c>
      <c r="H120" s="84">
        <f t="shared" si="24"/>
        <v>21500</v>
      </c>
    </row>
    <row r="121" spans="1:8" x14ac:dyDescent="0.25">
      <c r="A121" s="38"/>
      <c r="B121" s="82">
        <v>32251</v>
      </c>
      <c r="C121" s="82" t="s">
        <v>123</v>
      </c>
      <c r="D121" s="80">
        <f>' PRIHODI I RASHODI-izvori'!E304+' PRIHODI I RASHODI-izvori'!E150</f>
        <v>0</v>
      </c>
      <c r="E121" s="80">
        <f>' PRIHODI I RASHODI-izvori'!F304+' PRIHODI I RASHODI-izvori'!F150</f>
        <v>0</v>
      </c>
      <c r="F121" s="80">
        <f>' PRIHODI I RASHODI-izvori'!G304+' PRIHODI I RASHODI-izvori'!G150</f>
        <v>13000</v>
      </c>
      <c r="G121" s="80">
        <f>' PRIHODI I RASHODI-izvori'!H304+' PRIHODI I RASHODI-izvori'!H150</f>
        <v>15000</v>
      </c>
      <c r="H121" s="80">
        <f>' PRIHODI I RASHODI-izvori'!I304+' PRIHODI I RASHODI-izvori'!I150</f>
        <v>17000</v>
      </c>
    </row>
    <row r="122" spans="1:8" x14ac:dyDescent="0.25">
      <c r="A122" s="38"/>
      <c r="B122" s="82">
        <v>32252</v>
      </c>
      <c r="C122" s="82" t="s">
        <v>602</v>
      </c>
      <c r="D122" s="80">
        <f>' PRIHODI I RASHODI-izvori'!E305+' PRIHODI I RASHODI-izvori'!E151</f>
        <v>0</v>
      </c>
      <c r="E122" s="80">
        <f>' PRIHODI I RASHODI-izvori'!F305+' PRIHODI I RASHODI-izvori'!F151</f>
        <v>0</v>
      </c>
      <c r="F122" s="80">
        <f>' PRIHODI I RASHODI-izvori'!G305+' PRIHODI I RASHODI-izvori'!G151</f>
        <v>3500</v>
      </c>
      <c r="G122" s="80">
        <f>' PRIHODI I RASHODI-izvori'!H305+' PRIHODI I RASHODI-izvori'!H151</f>
        <v>4000</v>
      </c>
      <c r="H122" s="80">
        <f>' PRIHODI I RASHODI-izvori'!I305+' PRIHODI I RASHODI-izvori'!I151</f>
        <v>4500</v>
      </c>
    </row>
    <row r="123" spans="1:8" x14ac:dyDescent="0.25">
      <c r="A123" s="38"/>
      <c r="B123" s="83">
        <v>3227</v>
      </c>
      <c r="C123" s="83" t="s">
        <v>125</v>
      </c>
      <c r="D123" s="84">
        <f t="shared" ref="D123:H123" si="25">SUM(D124)</f>
        <v>0</v>
      </c>
      <c r="E123" s="84">
        <f t="shared" si="25"/>
        <v>0</v>
      </c>
      <c r="F123" s="84">
        <f t="shared" si="25"/>
        <v>5500</v>
      </c>
      <c r="G123" s="84">
        <f t="shared" si="25"/>
        <v>6500</v>
      </c>
      <c r="H123" s="84">
        <f t="shared" si="25"/>
        <v>7500</v>
      </c>
    </row>
    <row r="124" spans="1:8" x14ac:dyDescent="0.25">
      <c r="A124" s="38"/>
      <c r="B124" s="82">
        <v>32271</v>
      </c>
      <c r="C124" s="82" t="s">
        <v>125</v>
      </c>
      <c r="D124" s="80">
        <f>' PRIHODI I RASHODI-izvori'!E307</f>
        <v>0</v>
      </c>
      <c r="E124" s="80">
        <f>' PRIHODI I RASHODI-izvori'!F307</f>
        <v>0</v>
      </c>
      <c r="F124" s="80">
        <f>' PRIHODI I RASHODI-izvori'!G307</f>
        <v>5500</v>
      </c>
      <c r="G124" s="80">
        <f>' PRIHODI I RASHODI-izvori'!H307</f>
        <v>6500</v>
      </c>
      <c r="H124" s="80">
        <f>' PRIHODI I RASHODI-izvori'!I307</f>
        <v>7500</v>
      </c>
    </row>
    <row r="125" spans="1:8" x14ac:dyDescent="0.25">
      <c r="A125" s="38"/>
      <c r="B125" s="83">
        <v>323</v>
      </c>
      <c r="C125" s="83" t="s">
        <v>127</v>
      </c>
      <c r="D125" s="84" t="e">
        <f t="shared" ref="D125:H125" si="26">D126+D130+D135+D138+D147+D151+D156+D161+D164</f>
        <v>#REF!</v>
      </c>
      <c r="E125" s="84" t="e">
        <f t="shared" si="26"/>
        <v>#REF!</v>
      </c>
      <c r="F125" s="84">
        <f t="shared" si="26"/>
        <v>1526585.1699999997</v>
      </c>
      <c r="G125" s="84">
        <f t="shared" si="26"/>
        <v>1564496.9899999998</v>
      </c>
      <c r="H125" s="84">
        <f t="shared" si="26"/>
        <v>1603647.99</v>
      </c>
    </row>
    <row r="126" spans="1:8" x14ac:dyDescent="0.25">
      <c r="A126" s="38"/>
      <c r="B126" s="83">
        <v>3231</v>
      </c>
      <c r="C126" s="83" t="s">
        <v>295</v>
      </c>
      <c r="D126" s="84" t="e">
        <f>SUM(D127:D129)</f>
        <v>#REF!</v>
      </c>
      <c r="E126" s="84" t="e">
        <f t="shared" ref="E126:H126" si="27">SUM(E127:E129)</f>
        <v>#REF!</v>
      </c>
      <c r="F126" s="84">
        <f t="shared" si="27"/>
        <v>83850</v>
      </c>
      <c r="G126" s="84">
        <f t="shared" si="27"/>
        <v>86800</v>
      </c>
      <c r="H126" s="84">
        <f t="shared" si="27"/>
        <v>90650</v>
      </c>
    </row>
    <row r="127" spans="1:8" x14ac:dyDescent="0.25">
      <c r="A127" s="38"/>
      <c r="B127" s="82">
        <v>32311</v>
      </c>
      <c r="C127" s="82" t="s">
        <v>430</v>
      </c>
      <c r="D127" s="80" t="e">
        <f>' PRIHODI I RASHODI-izvori'!E43+' PRIHODI I RASHODI-izvori'!E310+' PRIHODI I RASHODI-izvori'!E156</f>
        <v>#REF!</v>
      </c>
      <c r="E127" s="80" t="e">
        <f>' PRIHODI I RASHODI-izvori'!F43+' PRIHODI I RASHODI-izvori'!F310+' PRIHODI I RASHODI-izvori'!F156</f>
        <v>#REF!</v>
      </c>
      <c r="F127" s="80">
        <f>' PRIHODI I RASHODI-izvori'!G156+' PRIHODI I RASHODI-izvori'!G310</f>
        <v>73000</v>
      </c>
      <c r="G127" s="80">
        <f>' PRIHODI I RASHODI-izvori'!H156+' PRIHODI I RASHODI-izvori'!H310</f>
        <v>76000</v>
      </c>
      <c r="H127" s="80">
        <f>' PRIHODI I RASHODI-izvori'!I156+' PRIHODI I RASHODI-izvori'!I310</f>
        <v>79000</v>
      </c>
    </row>
    <row r="128" spans="1:8" x14ac:dyDescent="0.25">
      <c r="A128" s="38"/>
      <c r="B128" s="100">
        <v>32313</v>
      </c>
      <c r="C128" s="100" t="s">
        <v>431</v>
      </c>
      <c r="D128" s="80">
        <f>' PRIHODI I RASHODI-izvori'!E311+' PRIHODI I RASHODI-izvori'!E157</f>
        <v>0</v>
      </c>
      <c r="E128" s="80">
        <f>' PRIHODI I RASHODI-izvori'!F311+' PRIHODI I RASHODI-izvori'!F157</f>
        <v>0</v>
      </c>
      <c r="F128" s="80">
        <f>' PRIHODI I RASHODI-izvori'!G311+' PRIHODI I RASHODI-izvori'!G157</f>
        <v>5000</v>
      </c>
      <c r="G128" s="80">
        <f>' PRIHODI I RASHODI-izvori'!H311+' PRIHODI I RASHODI-izvori'!H157</f>
        <v>5300</v>
      </c>
      <c r="H128" s="80">
        <f>' PRIHODI I RASHODI-izvori'!I311+' PRIHODI I RASHODI-izvori'!I157</f>
        <v>5600</v>
      </c>
    </row>
    <row r="129" spans="1:8" x14ac:dyDescent="0.25">
      <c r="A129" s="38"/>
      <c r="B129" s="74">
        <v>32319</v>
      </c>
      <c r="C129" s="100" t="s">
        <v>566</v>
      </c>
      <c r="D129" s="80">
        <f>' PRIHODI I RASHODI-izvori'!E312+' PRIHODI I RASHODI-izvori'!E477+' PRIHODI I RASHODI-izvori'!E158</f>
        <v>0</v>
      </c>
      <c r="E129" s="80">
        <f>' PRIHODI I RASHODI-izvori'!F312+' PRIHODI I RASHODI-izvori'!F477+' PRIHODI I RASHODI-izvori'!F158</f>
        <v>0</v>
      </c>
      <c r="F129" s="80">
        <f>' PRIHODI I RASHODI-izvori'!G312+' PRIHODI I RASHODI-izvori'!G477+' PRIHODI I RASHODI-izvori'!G158</f>
        <v>5850</v>
      </c>
      <c r="G129" s="80">
        <f>' PRIHODI I RASHODI-izvori'!H312+' PRIHODI I RASHODI-izvori'!H477+' PRIHODI I RASHODI-izvori'!H158</f>
        <v>5500</v>
      </c>
      <c r="H129" s="80">
        <f>' PRIHODI I RASHODI-izvori'!I312+' PRIHODI I RASHODI-izvori'!I477+' PRIHODI I RASHODI-izvori'!I158</f>
        <v>6050</v>
      </c>
    </row>
    <row r="130" spans="1:8" x14ac:dyDescent="0.25">
      <c r="A130" s="38"/>
      <c r="B130" s="101">
        <v>3232</v>
      </c>
      <c r="C130" s="101" t="s">
        <v>131</v>
      </c>
      <c r="D130" s="84" t="e">
        <f>SUM(D131:D134)</f>
        <v>#REF!</v>
      </c>
      <c r="E130" s="84" t="e">
        <f t="shared" ref="E130:H130" si="28">SUM(E131:E134)</f>
        <v>#REF!</v>
      </c>
      <c r="F130" s="84">
        <f t="shared" si="28"/>
        <v>271461.32</v>
      </c>
      <c r="G130" s="84">
        <f t="shared" si="28"/>
        <v>277461.32</v>
      </c>
      <c r="H130" s="84">
        <f t="shared" si="28"/>
        <v>283461.32</v>
      </c>
    </row>
    <row r="131" spans="1:8" x14ac:dyDescent="0.25">
      <c r="A131" s="38"/>
      <c r="B131" s="100">
        <v>32321</v>
      </c>
      <c r="C131" s="82" t="s">
        <v>433</v>
      </c>
      <c r="D131" s="80" t="e">
        <f>' PRIHODI I RASHODI-izvori'!E45+' PRIHODI I RASHODI-izvori'!E314+' PRIHODI I RASHODI-izvori'!E160+' PRIHODI I RASHODI-izvori'!E562</f>
        <v>#REF!</v>
      </c>
      <c r="E131" s="80" t="e">
        <f>' PRIHODI I RASHODI-izvori'!F45+' PRIHODI I RASHODI-izvori'!F314+' PRIHODI I RASHODI-izvori'!F160+' PRIHODI I RASHODI-izvori'!F562</f>
        <v>#REF!</v>
      </c>
      <c r="F131" s="80">
        <f>' PRIHODI I RASHODI-izvori'!G45+' PRIHODI I RASHODI-izvori'!G314+' PRIHODI I RASHODI-izvori'!G160+' PRIHODI I RASHODI-izvori'!G562</f>
        <v>245043.74</v>
      </c>
      <c r="G131" s="80">
        <f>' PRIHODI I RASHODI-izvori'!H45+' PRIHODI I RASHODI-izvori'!H314+' PRIHODI I RASHODI-izvori'!H160+' PRIHODI I RASHODI-izvori'!H562</f>
        <v>247293.74</v>
      </c>
      <c r="H131" s="80">
        <f>' PRIHODI I RASHODI-izvori'!I45+' PRIHODI I RASHODI-izvori'!I314+' PRIHODI I RASHODI-izvori'!I160+' PRIHODI I RASHODI-izvori'!I562</f>
        <v>249493.74</v>
      </c>
    </row>
    <row r="132" spans="1:8" x14ac:dyDescent="0.25">
      <c r="A132" s="38"/>
      <c r="B132" s="100">
        <v>32322</v>
      </c>
      <c r="C132" s="82" t="s">
        <v>434</v>
      </c>
      <c r="D132" s="80" t="e">
        <f>' PRIHODI I RASHODI-izvori'!E46+' PRIHODI I RASHODI-izvori'!E315+' PRIHODI I RASHODI-izvori'!E161</f>
        <v>#REF!</v>
      </c>
      <c r="E132" s="80" t="e">
        <f>' PRIHODI I RASHODI-izvori'!F46+' PRIHODI I RASHODI-izvori'!F315+' PRIHODI I RASHODI-izvori'!F161</f>
        <v>#REF!</v>
      </c>
      <c r="F132" s="80">
        <f>' PRIHODI I RASHODI-izvori'!G46+' PRIHODI I RASHODI-izvori'!G315+' PRIHODI I RASHODI-izvori'!G161</f>
        <v>11750</v>
      </c>
      <c r="G132" s="80">
        <f>' PRIHODI I RASHODI-izvori'!H46+' PRIHODI I RASHODI-izvori'!H315+' PRIHODI I RASHODI-izvori'!H161</f>
        <v>13750</v>
      </c>
      <c r="H132" s="80">
        <f>' PRIHODI I RASHODI-izvori'!I46+' PRIHODI I RASHODI-izvori'!I315+' PRIHODI I RASHODI-izvori'!I161</f>
        <v>15750</v>
      </c>
    </row>
    <row r="133" spans="1:8" x14ac:dyDescent="0.25">
      <c r="A133" s="38"/>
      <c r="B133" s="82">
        <v>32323</v>
      </c>
      <c r="C133" s="82" t="s">
        <v>432</v>
      </c>
      <c r="D133" s="80" t="e">
        <f>' PRIHODI I RASHODI-izvori'!E47+' PRIHODI I RASHODI-izvori'!E316+' PRIHODI I RASHODI-izvori'!E162</f>
        <v>#REF!</v>
      </c>
      <c r="E133" s="80" t="e">
        <f>' PRIHODI I RASHODI-izvori'!F47+' PRIHODI I RASHODI-izvori'!F316+' PRIHODI I RASHODI-izvori'!F162</f>
        <v>#REF!</v>
      </c>
      <c r="F133" s="80">
        <f>' PRIHODI I RASHODI-izvori'!G47+' PRIHODI I RASHODI-izvori'!G316+' PRIHODI I RASHODI-izvori'!G162</f>
        <v>9667.58</v>
      </c>
      <c r="G133" s="80">
        <f>' PRIHODI I RASHODI-izvori'!H47+' PRIHODI I RASHODI-izvori'!H316+' PRIHODI I RASHODI-izvori'!H162</f>
        <v>10417.580000000002</v>
      </c>
      <c r="H133" s="80">
        <f>' PRIHODI I RASHODI-izvori'!I47+' PRIHODI I RASHODI-izvori'!I316+' PRIHODI I RASHODI-izvori'!I162</f>
        <v>11217.580000000002</v>
      </c>
    </row>
    <row r="134" spans="1:8" x14ac:dyDescent="0.25">
      <c r="A134" s="38"/>
      <c r="B134" s="82">
        <v>32329</v>
      </c>
      <c r="C134" s="82" t="s">
        <v>604</v>
      </c>
      <c r="D134" s="80" t="e">
        <f>' PRIHODI I RASHODI-izvori'!E317+' PRIHODI I RASHODI-izvori'!E48</f>
        <v>#REF!</v>
      </c>
      <c r="E134" s="80" t="e">
        <f>' PRIHODI I RASHODI-izvori'!F317+' PRIHODI I RASHODI-izvori'!F48</f>
        <v>#REF!</v>
      </c>
      <c r="F134" s="80">
        <f>' PRIHODI I RASHODI-izvori'!G317+' PRIHODI I RASHODI-izvori'!G48</f>
        <v>5000</v>
      </c>
      <c r="G134" s="80">
        <f>' PRIHODI I RASHODI-izvori'!H317+' PRIHODI I RASHODI-izvori'!H48</f>
        <v>6000</v>
      </c>
      <c r="H134" s="80">
        <f>' PRIHODI I RASHODI-izvori'!I317+' PRIHODI I RASHODI-izvori'!I48</f>
        <v>7000</v>
      </c>
    </row>
    <row r="135" spans="1:8" x14ac:dyDescent="0.25">
      <c r="A135" s="38"/>
      <c r="B135" s="83">
        <v>3233</v>
      </c>
      <c r="C135" s="83" t="s">
        <v>133</v>
      </c>
      <c r="D135" s="84" t="e">
        <f>SUM(D136:D137)</f>
        <v>#REF!</v>
      </c>
      <c r="E135" s="84" t="e">
        <f t="shared" ref="E135:H135" si="29">SUM(E136:E137)</f>
        <v>#REF!</v>
      </c>
      <c r="F135" s="84">
        <f t="shared" si="29"/>
        <v>5863.6100000000006</v>
      </c>
      <c r="G135" s="84">
        <f t="shared" si="29"/>
        <v>5930.6100000000006</v>
      </c>
      <c r="H135" s="84">
        <f t="shared" si="29"/>
        <v>5997.6100000000006</v>
      </c>
    </row>
    <row r="136" spans="1:8" x14ac:dyDescent="0.25">
      <c r="A136" s="54"/>
      <c r="B136" s="82">
        <v>32334</v>
      </c>
      <c r="C136" s="82" t="s">
        <v>635</v>
      </c>
      <c r="D136" s="80" t="e">
        <f>' PRIHODI I RASHODI-izvori'!E164+' PRIHODI I RASHODI-izvori'!#REF!</f>
        <v>#REF!</v>
      </c>
      <c r="E136" s="80" t="e">
        <f>' PRIHODI I RASHODI-izvori'!F164+' PRIHODI I RASHODI-izvori'!#REF!</f>
        <v>#REF!</v>
      </c>
      <c r="F136" s="80">
        <f>' PRIHODI I RASHODI-izvori'!G164+' PRIHODI I RASHODI-izvori'!G505</f>
        <v>3200</v>
      </c>
      <c r="G136" s="80">
        <f>' PRIHODI I RASHODI-izvori'!H164+' PRIHODI I RASHODI-izvori'!H505</f>
        <v>3267</v>
      </c>
      <c r="H136" s="80">
        <f>' PRIHODI I RASHODI-izvori'!I164+' PRIHODI I RASHODI-izvori'!I505</f>
        <v>3334</v>
      </c>
    </row>
    <row r="137" spans="1:8" x14ac:dyDescent="0.25">
      <c r="A137" s="38"/>
      <c r="B137" s="82">
        <v>32339</v>
      </c>
      <c r="C137" s="82" t="s">
        <v>435</v>
      </c>
      <c r="D137" s="80">
        <f>' PRIHODI I RASHODI-izvori'!E319</f>
        <v>0</v>
      </c>
      <c r="E137" s="80">
        <f>' PRIHODI I RASHODI-izvori'!F319</f>
        <v>0</v>
      </c>
      <c r="F137" s="80">
        <f>' PRIHODI I RASHODI-izvori'!G319</f>
        <v>2663.61</v>
      </c>
      <c r="G137" s="80">
        <f>' PRIHODI I RASHODI-izvori'!H319</f>
        <v>2663.61</v>
      </c>
      <c r="H137" s="80">
        <f>' PRIHODI I RASHODI-izvori'!I319</f>
        <v>2663.61</v>
      </c>
    </row>
    <row r="138" spans="1:8" x14ac:dyDescent="0.25">
      <c r="A138" s="38"/>
      <c r="B138" s="83">
        <v>3234</v>
      </c>
      <c r="C138" s="83" t="s">
        <v>135</v>
      </c>
      <c r="D138" s="84">
        <f t="shared" ref="D138:H138" si="30">SUM(D139:D146)</f>
        <v>0</v>
      </c>
      <c r="E138" s="84">
        <f t="shared" si="30"/>
        <v>0</v>
      </c>
      <c r="F138" s="84">
        <f>SUM(F139:F146)</f>
        <v>167950</v>
      </c>
      <c r="G138" s="84">
        <f t="shared" si="30"/>
        <v>176600</v>
      </c>
      <c r="H138" s="84">
        <f t="shared" si="30"/>
        <v>185050</v>
      </c>
    </row>
    <row r="139" spans="1:8" x14ac:dyDescent="0.25">
      <c r="A139" s="38"/>
      <c r="B139" s="82">
        <v>32341</v>
      </c>
      <c r="C139" s="82" t="s">
        <v>436</v>
      </c>
      <c r="D139" s="80">
        <f>' PRIHODI I RASHODI-izvori'!E321</f>
        <v>0</v>
      </c>
      <c r="E139" s="80">
        <f>' PRIHODI I RASHODI-izvori'!F321</f>
        <v>0</v>
      </c>
      <c r="F139" s="80">
        <f>' PRIHODI I RASHODI-izvori'!G321</f>
        <v>44000</v>
      </c>
      <c r="G139" s="80">
        <f>' PRIHODI I RASHODI-izvori'!H321</f>
        <v>47000</v>
      </c>
      <c r="H139" s="80">
        <f>' PRIHODI I RASHODI-izvori'!I321</f>
        <v>50000</v>
      </c>
    </row>
    <row r="140" spans="1:8" x14ac:dyDescent="0.25">
      <c r="A140" s="38"/>
      <c r="B140" s="82">
        <v>32342</v>
      </c>
      <c r="C140" s="82" t="s">
        <v>437</v>
      </c>
      <c r="D140" s="80">
        <f>' PRIHODI I RASHODI-izvori'!E322</f>
        <v>0</v>
      </c>
      <c r="E140" s="80">
        <f>' PRIHODI I RASHODI-izvori'!F322</f>
        <v>0</v>
      </c>
      <c r="F140" s="80">
        <f>' PRIHODI I RASHODI-izvori'!G322</f>
        <v>68000</v>
      </c>
      <c r="G140" s="80">
        <f>' PRIHODI I RASHODI-izvori'!H322</f>
        <v>70000</v>
      </c>
      <c r="H140" s="80">
        <f>' PRIHODI I RASHODI-izvori'!I322</f>
        <v>72000</v>
      </c>
    </row>
    <row r="141" spans="1:8" x14ac:dyDescent="0.25">
      <c r="A141" s="38"/>
      <c r="B141" s="82">
        <v>32343</v>
      </c>
      <c r="C141" s="82" t="s">
        <v>438</v>
      </c>
      <c r="D141" s="80">
        <f>' PRIHODI I RASHODI-izvori'!E323</f>
        <v>0</v>
      </c>
      <c r="E141" s="80">
        <f>' PRIHODI I RASHODI-izvori'!F323</f>
        <v>0</v>
      </c>
      <c r="F141" s="80">
        <f>' PRIHODI I RASHODI-izvori'!G323</f>
        <v>2800</v>
      </c>
      <c r="G141" s="80">
        <f>' PRIHODI I RASHODI-izvori'!H323</f>
        <v>3300</v>
      </c>
      <c r="H141" s="80">
        <f>' PRIHODI I RASHODI-izvori'!I323</f>
        <v>3800</v>
      </c>
    </row>
    <row r="142" spans="1:8" x14ac:dyDescent="0.25">
      <c r="A142" s="38"/>
      <c r="B142" s="483">
        <v>32344</v>
      </c>
      <c r="C142" s="82" t="s">
        <v>605</v>
      </c>
      <c r="D142" s="80">
        <f>' PRIHODI I RASHODI-izvori'!E324</f>
        <v>0</v>
      </c>
      <c r="E142" s="80">
        <f>' PRIHODI I RASHODI-izvori'!F324</f>
        <v>0</v>
      </c>
      <c r="F142" s="80">
        <f>' PRIHODI I RASHODI-izvori'!G324</f>
        <v>2000</v>
      </c>
      <c r="G142" s="80">
        <f>' PRIHODI I RASHODI-izvori'!H324</f>
        <v>2500</v>
      </c>
      <c r="H142" s="80">
        <f>' PRIHODI I RASHODI-izvori'!I324</f>
        <v>3000</v>
      </c>
    </row>
    <row r="143" spans="1:8" x14ac:dyDescent="0.25">
      <c r="A143" s="38"/>
      <c r="B143" s="483">
        <v>32345</v>
      </c>
      <c r="C143" s="82" t="s">
        <v>609</v>
      </c>
      <c r="D143" s="80">
        <f>' PRIHODI I RASHODI-izvori'!E325</f>
        <v>0</v>
      </c>
      <c r="E143" s="80">
        <f>' PRIHODI I RASHODI-izvori'!F325</f>
        <v>0</v>
      </c>
      <c r="F143" s="80">
        <f>' PRIHODI I RASHODI-izvori'!G325</f>
        <v>9000</v>
      </c>
      <c r="G143" s="80">
        <f>' PRIHODI I RASHODI-izvori'!H325</f>
        <v>9400</v>
      </c>
      <c r="H143" s="80">
        <f>' PRIHODI I RASHODI-izvori'!I325</f>
        <v>9800</v>
      </c>
    </row>
    <row r="144" spans="1:8" x14ac:dyDescent="0.25">
      <c r="A144" s="38"/>
      <c r="B144" s="483">
        <v>32347</v>
      </c>
      <c r="C144" s="82" t="s">
        <v>610</v>
      </c>
      <c r="D144" s="80">
        <f>' PRIHODI I RASHODI-izvori'!E326+' PRIHODI I RASHODI-izvori'!E587</f>
        <v>0</v>
      </c>
      <c r="E144" s="80">
        <f>' PRIHODI I RASHODI-izvori'!F326+' PRIHODI I RASHODI-izvori'!F587</f>
        <v>0</v>
      </c>
      <c r="F144" s="80">
        <f>' PRIHODI I RASHODI-izvori'!G326+' PRIHODI I RASHODI-izvori'!G587</f>
        <v>7300</v>
      </c>
      <c r="G144" s="80">
        <f>' PRIHODI I RASHODI-izvori'!H326+' PRIHODI I RASHODI-izvori'!H587</f>
        <v>8000</v>
      </c>
      <c r="H144" s="80">
        <f>' PRIHODI I RASHODI-izvori'!I326+' PRIHODI I RASHODI-izvori'!I587</f>
        <v>8500</v>
      </c>
    </row>
    <row r="145" spans="1:8" x14ac:dyDescent="0.25">
      <c r="A145" s="38"/>
      <c r="B145" s="483">
        <v>32348</v>
      </c>
      <c r="C145" s="82" t="s">
        <v>611</v>
      </c>
      <c r="D145" s="80">
        <f>' PRIHODI I RASHODI-izvori'!E327</f>
        <v>0</v>
      </c>
      <c r="E145" s="80">
        <f>' PRIHODI I RASHODI-izvori'!F327</f>
        <v>0</v>
      </c>
      <c r="F145" s="80">
        <f>' PRIHODI I RASHODI-izvori'!G327</f>
        <v>150</v>
      </c>
      <c r="G145" s="80">
        <f>' PRIHODI I RASHODI-izvori'!H327</f>
        <v>200</v>
      </c>
      <c r="H145" s="80">
        <f>' PRIHODI I RASHODI-izvori'!I327</f>
        <v>250</v>
      </c>
    </row>
    <row r="146" spans="1:8" x14ac:dyDescent="0.25">
      <c r="A146" s="38"/>
      <c r="B146" s="82">
        <v>32349</v>
      </c>
      <c r="C146" s="82" t="s">
        <v>439</v>
      </c>
      <c r="D146" s="80">
        <f>' PRIHODI I RASHODI-izvori'!E328</f>
        <v>0</v>
      </c>
      <c r="E146" s="80">
        <f>' PRIHODI I RASHODI-izvori'!F328</f>
        <v>0</v>
      </c>
      <c r="F146" s="80">
        <f>' PRIHODI I RASHODI-izvori'!G328</f>
        <v>34700</v>
      </c>
      <c r="G146" s="80">
        <f>' PRIHODI I RASHODI-izvori'!H328</f>
        <v>36200</v>
      </c>
      <c r="H146" s="80">
        <f>' PRIHODI I RASHODI-izvori'!I328</f>
        <v>37700</v>
      </c>
    </row>
    <row r="147" spans="1:8" x14ac:dyDescent="0.25">
      <c r="A147" s="38"/>
      <c r="B147" s="83">
        <v>3235</v>
      </c>
      <c r="C147" s="83" t="s">
        <v>136</v>
      </c>
      <c r="D147" s="84">
        <f>SUM(D148:D150)</f>
        <v>0</v>
      </c>
      <c r="E147" s="84">
        <f t="shared" ref="E147:H147" si="31">SUM(E148:E150)</f>
        <v>0</v>
      </c>
      <c r="F147" s="84">
        <f t="shared" si="31"/>
        <v>7832.72</v>
      </c>
      <c r="G147" s="84">
        <f t="shared" si="31"/>
        <v>8232.7199999999993</v>
      </c>
      <c r="H147" s="84">
        <f t="shared" si="31"/>
        <v>8632.7199999999993</v>
      </c>
    </row>
    <row r="148" spans="1:8" x14ac:dyDescent="0.25">
      <c r="A148" s="38"/>
      <c r="B148" s="82">
        <v>32353</v>
      </c>
      <c r="C148" s="82" t="s">
        <v>613</v>
      </c>
      <c r="D148" s="80">
        <f>' PRIHODI I RASHODI-izvori'!E330</f>
        <v>0</v>
      </c>
      <c r="E148" s="80">
        <f>' PRIHODI I RASHODI-izvori'!F330</f>
        <v>0</v>
      </c>
      <c r="F148" s="80">
        <f>' PRIHODI I RASHODI-izvori'!G330</f>
        <v>1800</v>
      </c>
      <c r="G148" s="80">
        <f>' PRIHODI I RASHODI-izvori'!H330</f>
        <v>2000</v>
      </c>
      <c r="H148" s="80">
        <f>' PRIHODI I RASHODI-izvori'!I330</f>
        <v>2200</v>
      </c>
    </row>
    <row r="149" spans="1:8" x14ac:dyDescent="0.25">
      <c r="A149" s="38"/>
      <c r="B149" s="82">
        <v>32354</v>
      </c>
      <c r="C149" s="82" t="s">
        <v>614</v>
      </c>
      <c r="D149" s="80">
        <f>' PRIHODI I RASHODI-izvori'!E331</f>
        <v>0</v>
      </c>
      <c r="E149" s="80">
        <f>' PRIHODI I RASHODI-izvori'!F331</f>
        <v>0</v>
      </c>
      <c r="F149" s="80">
        <f>' PRIHODI I RASHODI-izvori'!G331</f>
        <v>5700</v>
      </c>
      <c r="G149" s="80">
        <f>' PRIHODI I RASHODI-izvori'!H331</f>
        <v>5900</v>
      </c>
      <c r="H149" s="80">
        <f>' PRIHODI I RASHODI-izvori'!I331</f>
        <v>6100</v>
      </c>
    </row>
    <row r="150" spans="1:8" x14ac:dyDescent="0.25">
      <c r="A150" s="38"/>
      <c r="B150" s="82">
        <v>32359</v>
      </c>
      <c r="C150" s="82" t="s">
        <v>440</v>
      </c>
      <c r="D150" s="80">
        <f>' PRIHODI I RASHODI-izvori'!E332</f>
        <v>0</v>
      </c>
      <c r="E150" s="80">
        <f>' PRIHODI I RASHODI-izvori'!F332</f>
        <v>0</v>
      </c>
      <c r="F150" s="80">
        <f>' PRIHODI I RASHODI-izvori'!G332</f>
        <v>332.72</v>
      </c>
      <c r="G150" s="80">
        <f>' PRIHODI I RASHODI-izvori'!H332</f>
        <v>332.72</v>
      </c>
      <c r="H150" s="80">
        <f>' PRIHODI I RASHODI-izvori'!I332</f>
        <v>332.72</v>
      </c>
    </row>
    <row r="151" spans="1:8" x14ac:dyDescent="0.25">
      <c r="A151" s="38"/>
      <c r="B151" s="83">
        <v>3236</v>
      </c>
      <c r="C151" s="83" t="s">
        <v>137</v>
      </c>
      <c r="D151" s="84" t="e">
        <f>SUM(D152:D155)</f>
        <v>#REF!</v>
      </c>
      <c r="E151" s="84" t="e">
        <f t="shared" ref="E151:H151" si="32">SUM(E152:E155)</f>
        <v>#REF!</v>
      </c>
      <c r="F151" s="84">
        <f t="shared" si="32"/>
        <v>465654.46</v>
      </c>
      <c r="G151" s="84">
        <f t="shared" si="32"/>
        <v>474154.46</v>
      </c>
      <c r="H151" s="84">
        <f t="shared" si="32"/>
        <v>482654.46</v>
      </c>
    </row>
    <row r="152" spans="1:8" x14ac:dyDescent="0.25">
      <c r="A152" s="54"/>
      <c r="B152" s="82">
        <v>32361</v>
      </c>
      <c r="C152" s="82" t="s">
        <v>617</v>
      </c>
      <c r="D152" s="80">
        <f>' PRIHODI I RASHODI-izvori'!E334</f>
        <v>0</v>
      </c>
      <c r="E152" s="80">
        <f>' PRIHODI I RASHODI-izvori'!F334</f>
        <v>0</v>
      </c>
      <c r="F152" s="80">
        <f>' PRIHODI I RASHODI-izvori'!G334</f>
        <v>4000</v>
      </c>
      <c r="G152" s="80">
        <f>' PRIHODI I RASHODI-izvori'!H334</f>
        <v>5000</v>
      </c>
      <c r="H152" s="80">
        <f>' PRIHODI I RASHODI-izvori'!I334</f>
        <v>6000</v>
      </c>
    </row>
    <row r="153" spans="1:8" x14ac:dyDescent="0.25">
      <c r="A153" s="54"/>
      <c r="B153" s="82">
        <v>32362</v>
      </c>
      <c r="C153" s="82" t="s">
        <v>616</v>
      </c>
      <c r="D153" s="80">
        <f>' PRIHODI I RASHODI-izvori'!E335</f>
        <v>0</v>
      </c>
      <c r="E153" s="80">
        <f>' PRIHODI I RASHODI-izvori'!F335</f>
        <v>0</v>
      </c>
      <c r="F153" s="80">
        <f>' PRIHODI I RASHODI-izvori'!G335</f>
        <v>2000</v>
      </c>
      <c r="G153" s="80">
        <f>' PRIHODI I RASHODI-izvori'!H335</f>
        <v>3000</v>
      </c>
      <c r="H153" s="80">
        <f>' PRIHODI I RASHODI-izvori'!I335</f>
        <v>4000</v>
      </c>
    </row>
    <row r="154" spans="1:8" x14ac:dyDescent="0.25">
      <c r="A154" s="54"/>
      <c r="B154" s="82">
        <v>32363</v>
      </c>
      <c r="C154" s="82" t="s">
        <v>615</v>
      </c>
      <c r="D154" s="80">
        <f>' PRIHODI I RASHODI-izvori'!E336</f>
        <v>0</v>
      </c>
      <c r="E154" s="80">
        <f>' PRIHODI I RASHODI-izvori'!F336</f>
        <v>0</v>
      </c>
      <c r="F154" s="80">
        <f>' PRIHODI I RASHODI-izvori'!G336</f>
        <v>30000</v>
      </c>
      <c r="G154" s="80">
        <f>' PRIHODI I RASHODI-izvori'!H336</f>
        <v>32500</v>
      </c>
      <c r="H154" s="80">
        <f>' PRIHODI I RASHODI-izvori'!I336</f>
        <v>35000</v>
      </c>
    </row>
    <row r="155" spans="1:8" x14ac:dyDescent="0.25">
      <c r="A155" s="38"/>
      <c r="B155" s="82">
        <v>32369</v>
      </c>
      <c r="C155" s="82" t="s">
        <v>441</v>
      </c>
      <c r="D155" s="80" t="e">
        <f>' PRIHODI I RASHODI-izvori'!E337+' PRIHODI I RASHODI-izvori'!E168+' PRIHODI I RASHODI-izvori'!E50</f>
        <v>#REF!</v>
      </c>
      <c r="E155" s="80" t="e">
        <f>' PRIHODI I RASHODI-izvori'!F337+' PRIHODI I RASHODI-izvori'!F168+' PRIHODI I RASHODI-izvori'!F50</f>
        <v>#REF!</v>
      </c>
      <c r="F155" s="80">
        <f>' PRIHODI I RASHODI-izvori'!G337+' PRIHODI I RASHODI-izvori'!G168+' PRIHODI I RASHODI-izvori'!G50</f>
        <v>429654.46</v>
      </c>
      <c r="G155" s="80">
        <f>' PRIHODI I RASHODI-izvori'!H337+' PRIHODI I RASHODI-izvori'!H168+' PRIHODI I RASHODI-izvori'!H50</f>
        <v>433654.46</v>
      </c>
      <c r="H155" s="80">
        <f>' PRIHODI I RASHODI-izvori'!I337+' PRIHODI I RASHODI-izvori'!I168+' PRIHODI I RASHODI-izvori'!I50</f>
        <v>437654.46</v>
      </c>
    </row>
    <row r="156" spans="1:8" x14ac:dyDescent="0.25">
      <c r="A156" s="38"/>
      <c r="B156" s="83">
        <v>3237</v>
      </c>
      <c r="C156" s="83" t="s">
        <v>138</v>
      </c>
      <c r="D156" s="84" t="e">
        <f t="shared" ref="D156:H156" si="33">SUM(D157:D160)</f>
        <v>#REF!</v>
      </c>
      <c r="E156" s="84" t="e">
        <f t="shared" si="33"/>
        <v>#REF!</v>
      </c>
      <c r="F156" s="84">
        <f t="shared" si="33"/>
        <v>347979.38</v>
      </c>
      <c r="G156" s="84">
        <f t="shared" si="33"/>
        <v>354479.38</v>
      </c>
      <c r="H156" s="84">
        <f t="shared" si="33"/>
        <v>361460.64</v>
      </c>
    </row>
    <row r="157" spans="1:8" x14ac:dyDescent="0.25">
      <c r="A157" s="38"/>
      <c r="B157" s="82">
        <v>32372</v>
      </c>
      <c r="C157" s="82" t="s">
        <v>442</v>
      </c>
      <c r="D157" s="80" t="e">
        <f>' PRIHODI I RASHODI-izvori'!E339+' PRIHODI I RASHODI-izvori'!E170+' PRIHODI I RASHODI-izvori'!E479</f>
        <v>#REF!</v>
      </c>
      <c r="E157" s="80" t="e">
        <f>' PRIHODI I RASHODI-izvori'!F339+' PRIHODI I RASHODI-izvori'!F170+' PRIHODI I RASHODI-izvori'!F479</f>
        <v>#REF!</v>
      </c>
      <c r="F157" s="80">
        <f>' PRIHODI I RASHODI-izvori'!G170+' PRIHODI I RASHODI-izvori'!G339+' PRIHODI I RASHODI-izvori'!G479+' PRIHODI I RASHODI-izvori'!G539</f>
        <v>300479.38</v>
      </c>
      <c r="G157" s="80">
        <f>' PRIHODI I RASHODI-izvori'!H170+' PRIHODI I RASHODI-izvori'!H339+' PRIHODI I RASHODI-izvori'!H479+' PRIHODI I RASHODI-izvori'!H539</f>
        <v>304479.38</v>
      </c>
      <c r="H157" s="80">
        <f>' PRIHODI I RASHODI-izvori'!I170+' PRIHODI I RASHODI-izvori'!I339+' PRIHODI I RASHODI-izvori'!I479+' PRIHODI I RASHODI-izvori'!I539</f>
        <v>308960.64000000001</v>
      </c>
    </row>
    <row r="158" spans="1:8" x14ac:dyDescent="0.25">
      <c r="A158" s="38"/>
      <c r="B158" s="82">
        <v>32373</v>
      </c>
      <c r="C158" s="82" t="s">
        <v>443</v>
      </c>
      <c r="D158" s="80">
        <f>' PRIHODI I RASHODI-izvori'!E340+' PRIHODI I RASHODI-izvori'!E171</f>
        <v>0</v>
      </c>
      <c r="E158" s="80">
        <f>' PRIHODI I RASHODI-izvori'!F340+' PRIHODI I RASHODI-izvori'!F171</f>
        <v>0</v>
      </c>
      <c r="F158" s="80">
        <f>' PRIHODI I RASHODI-izvori'!G340+' PRIHODI I RASHODI-izvori'!G171</f>
        <v>30000</v>
      </c>
      <c r="G158" s="80">
        <f>' PRIHODI I RASHODI-izvori'!H340+' PRIHODI I RASHODI-izvori'!H171</f>
        <v>31500</v>
      </c>
      <c r="H158" s="80">
        <f>' PRIHODI I RASHODI-izvori'!I340+' PRIHODI I RASHODI-izvori'!I171</f>
        <v>33000</v>
      </c>
    </row>
    <row r="159" spans="1:8" x14ac:dyDescent="0.25">
      <c r="A159" s="38"/>
      <c r="B159" s="82">
        <v>32375</v>
      </c>
      <c r="C159" s="82" t="s">
        <v>567</v>
      </c>
      <c r="D159" s="80">
        <f>' PRIHODI I RASHODI-izvori'!E341</f>
        <v>0</v>
      </c>
      <c r="E159" s="80">
        <f>' PRIHODI I RASHODI-izvori'!F341</f>
        <v>0</v>
      </c>
      <c r="F159" s="80">
        <f>' PRIHODI I RASHODI-izvori'!G341</f>
        <v>1000</v>
      </c>
      <c r="G159" s="80">
        <f>' PRIHODI I RASHODI-izvori'!H341</f>
        <v>1000</v>
      </c>
      <c r="H159" s="80">
        <f>' PRIHODI I RASHODI-izvori'!I341</f>
        <v>1000</v>
      </c>
    </row>
    <row r="160" spans="1:8" x14ac:dyDescent="0.25">
      <c r="A160" s="38"/>
      <c r="B160" s="82">
        <v>32379</v>
      </c>
      <c r="C160" s="82" t="s">
        <v>509</v>
      </c>
      <c r="D160" s="80" t="e">
        <f>' PRIHODI I RASHODI-izvori'!E342+' PRIHODI I RASHODI-izvori'!E52+' PRIHODI I RASHODI-izvori'!E172</f>
        <v>#REF!</v>
      </c>
      <c r="E160" s="80" t="e">
        <f>' PRIHODI I RASHODI-izvori'!F342+' PRIHODI I RASHODI-izvori'!F52+' PRIHODI I RASHODI-izvori'!F172</f>
        <v>#REF!</v>
      </c>
      <c r="F160" s="80">
        <f>' PRIHODI I RASHODI-izvori'!G342+' PRIHODI I RASHODI-izvori'!G52+' PRIHODI I RASHODI-izvori'!G172</f>
        <v>16500</v>
      </c>
      <c r="G160" s="80">
        <f>' PRIHODI I RASHODI-izvori'!H342+' PRIHODI I RASHODI-izvori'!H52+' PRIHODI I RASHODI-izvori'!H172</f>
        <v>17500</v>
      </c>
      <c r="H160" s="80">
        <f>' PRIHODI I RASHODI-izvori'!I342+' PRIHODI I RASHODI-izvori'!I52+' PRIHODI I RASHODI-izvori'!I172</f>
        <v>18500</v>
      </c>
    </row>
    <row r="161" spans="1:8" x14ac:dyDescent="0.25">
      <c r="A161" s="38"/>
      <c r="B161" s="83">
        <v>3238</v>
      </c>
      <c r="C161" s="83" t="s">
        <v>140</v>
      </c>
      <c r="D161" s="84" t="e">
        <f>SUM(D162:D163)</f>
        <v>#REF!</v>
      </c>
      <c r="E161" s="84" t="e">
        <f t="shared" ref="E161:H161" si="34">SUM(E162:E163)</f>
        <v>#REF!</v>
      </c>
      <c r="F161" s="84">
        <f t="shared" si="34"/>
        <v>89834.17</v>
      </c>
      <c r="G161" s="84">
        <f t="shared" si="34"/>
        <v>90834.17</v>
      </c>
      <c r="H161" s="84">
        <f t="shared" si="34"/>
        <v>91834.17</v>
      </c>
    </row>
    <row r="162" spans="1:8" x14ac:dyDescent="0.25">
      <c r="A162" s="54"/>
      <c r="B162" s="82">
        <v>32381</v>
      </c>
      <c r="C162" s="82" t="s">
        <v>674</v>
      </c>
      <c r="D162" s="80">
        <f>' PRIHODI I RASHODI-izvori'!E174</f>
        <v>0</v>
      </c>
      <c r="E162" s="80">
        <f>' PRIHODI I RASHODI-izvori'!F174</f>
        <v>0</v>
      </c>
      <c r="F162" s="80">
        <f>' PRIHODI I RASHODI-izvori'!G54+' PRIHODI I RASHODI-izvori'!G174</f>
        <v>83334.17</v>
      </c>
      <c r="G162" s="80">
        <f>' PRIHODI I RASHODI-izvori'!H54+' PRIHODI I RASHODI-izvori'!H174</f>
        <v>83334.17</v>
      </c>
      <c r="H162" s="80">
        <f>' PRIHODI I RASHODI-izvori'!I54+' PRIHODI I RASHODI-izvori'!I174</f>
        <v>83334.17</v>
      </c>
    </row>
    <row r="163" spans="1:8" x14ac:dyDescent="0.25">
      <c r="A163" s="38"/>
      <c r="B163" s="82">
        <v>32389</v>
      </c>
      <c r="C163" s="82" t="s">
        <v>444</v>
      </c>
      <c r="D163" s="80" t="e">
        <f>' PRIHODI I RASHODI-izvori'!E54+' PRIHODI I RASHODI-izvori'!E344+' PRIHODI I RASHODI-izvori'!E175</f>
        <v>#REF!</v>
      </c>
      <c r="E163" s="80" t="e">
        <f>' PRIHODI I RASHODI-izvori'!F54+' PRIHODI I RASHODI-izvori'!F344+' PRIHODI I RASHODI-izvori'!F175</f>
        <v>#REF!</v>
      </c>
      <c r="F163" s="80">
        <f>' PRIHODI I RASHODI-izvori'!G175+' PRIHODI I RASHODI-izvori'!G344</f>
        <v>6500</v>
      </c>
      <c r="G163" s="80">
        <f>' PRIHODI I RASHODI-izvori'!H175+' PRIHODI I RASHODI-izvori'!H344</f>
        <v>7500</v>
      </c>
      <c r="H163" s="80">
        <f>' PRIHODI I RASHODI-izvori'!I175+' PRIHODI I RASHODI-izvori'!I344</f>
        <v>8500</v>
      </c>
    </row>
    <row r="164" spans="1:8" x14ac:dyDescent="0.25">
      <c r="A164" s="38"/>
      <c r="B164" s="83">
        <v>3239</v>
      </c>
      <c r="C164" s="83" t="s">
        <v>142</v>
      </c>
      <c r="D164" s="84" t="e">
        <f>SUM(D165:D168)</f>
        <v>#REF!</v>
      </c>
      <c r="E164" s="84" t="e">
        <f t="shared" ref="E164:H164" si="35">SUM(E165:E168)</f>
        <v>#REF!</v>
      </c>
      <c r="F164" s="84">
        <f t="shared" si="35"/>
        <v>86159.510000000009</v>
      </c>
      <c r="G164" s="84">
        <f t="shared" si="35"/>
        <v>90004.33</v>
      </c>
      <c r="H164" s="84">
        <f t="shared" si="35"/>
        <v>93907.07</v>
      </c>
    </row>
    <row r="165" spans="1:8" x14ac:dyDescent="0.25">
      <c r="A165" s="54"/>
      <c r="B165" s="82">
        <v>32391</v>
      </c>
      <c r="C165" s="82" t="s">
        <v>618</v>
      </c>
      <c r="D165" s="80">
        <f>' PRIHODI I RASHODI-izvori'!E346+' PRIHODI I RASHODI-izvori'!E177</f>
        <v>0</v>
      </c>
      <c r="E165" s="80">
        <f>' PRIHODI I RASHODI-izvori'!F346+' PRIHODI I RASHODI-izvori'!F177</f>
        <v>0</v>
      </c>
      <c r="F165" s="80">
        <f>' PRIHODI I RASHODI-izvori'!G346+' PRIHODI I RASHODI-izvori'!G177</f>
        <v>2800</v>
      </c>
      <c r="G165" s="80">
        <f>' PRIHODI I RASHODI-izvori'!H346+' PRIHODI I RASHODI-izvori'!H177</f>
        <v>3000</v>
      </c>
      <c r="H165" s="80">
        <f>' PRIHODI I RASHODI-izvori'!I346+' PRIHODI I RASHODI-izvori'!I177</f>
        <v>3200</v>
      </c>
    </row>
    <row r="166" spans="1:8" x14ac:dyDescent="0.25">
      <c r="A166" s="38"/>
      <c r="B166" s="82">
        <v>32394</v>
      </c>
      <c r="C166" s="82" t="s">
        <v>445</v>
      </c>
      <c r="D166" s="80" t="e">
        <f>' PRIHODI I RASHODI-izvori'!E347+' PRIHODI I RASHODI-izvori'!E56+' PRIHODI I RASHODI-izvori'!E178</f>
        <v>#REF!</v>
      </c>
      <c r="E166" s="80" t="e">
        <f>' PRIHODI I RASHODI-izvori'!F347+' PRIHODI I RASHODI-izvori'!F56+' PRIHODI I RASHODI-izvori'!F178</f>
        <v>#REF!</v>
      </c>
      <c r="F166" s="80">
        <f>' PRIHODI I RASHODI-izvori'!G347+' PRIHODI I RASHODI-izvori'!G56+' PRIHODI I RASHODI-izvori'!G178</f>
        <v>8800</v>
      </c>
      <c r="G166" s="80">
        <f>' PRIHODI I RASHODI-izvori'!H347+' PRIHODI I RASHODI-izvori'!H56+' PRIHODI I RASHODI-izvori'!H178</f>
        <v>9400</v>
      </c>
      <c r="H166" s="80">
        <f>' PRIHODI I RASHODI-izvori'!I347+' PRIHODI I RASHODI-izvori'!I56+' PRIHODI I RASHODI-izvori'!I178</f>
        <v>10000</v>
      </c>
    </row>
    <row r="167" spans="1:8" x14ac:dyDescent="0.25">
      <c r="A167" s="38"/>
      <c r="B167" s="82">
        <v>32395</v>
      </c>
      <c r="C167" s="82" t="s">
        <v>446</v>
      </c>
      <c r="D167" s="80">
        <f>' PRIHODI I RASHODI-izvori'!E348</f>
        <v>0</v>
      </c>
      <c r="E167" s="80">
        <f>' PRIHODI I RASHODI-izvori'!F348</f>
        <v>0</v>
      </c>
      <c r="F167" s="80">
        <f>' PRIHODI I RASHODI-izvori'!G348</f>
        <v>17300</v>
      </c>
      <c r="G167" s="80">
        <f>' PRIHODI I RASHODI-izvori'!H348</f>
        <v>18300</v>
      </c>
      <c r="H167" s="80">
        <f>' PRIHODI I RASHODI-izvori'!I348</f>
        <v>19300</v>
      </c>
    </row>
    <row r="168" spans="1:8" x14ac:dyDescent="0.25">
      <c r="A168" s="38"/>
      <c r="B168" s="82">
        <v>32399</v>
      </c>
      <c r="C168" s="82" t="s">
        <v>315</v>
      </c>
      <c r="D168" s="80" t="e">
        <f>' PRIHODI I RASHODI-izvori'!E349+' PRIHODI I RASHODI-izvori'!E179+' PRIHODI I RASHODI-izvori'!E481+' PRIHODI I RASHODI-izvori'!E57</f>
        <v>#REF!</v>
      </c>
      <c r="E168" s="80" t="e">
        <f>' PRIHODI I RASHODI-izvori'!F349+' PRIHODI I RASHODI-izvori'!F179+' PRIHODI I RASHODI-izvori'!F481+' PRIHODI I RASHODI-izvori'!F57</f>
        <v>#REF!</v>
      </c>
      <c r="F168" s="80">
        <f>' PRIHODI I RASHODI-izvori'!G179+' PRIHODI I RASHODI-izvori'!G349+' PRIHODI I RASHODI-izvori'!G481+' PRIHODI I RASHODI-izvori'!G507+' PRIHODI I RASHODI-izvori'!G541</f>
        <v>57259.51</v>
      </c>
      <c r="G168" s="80">
        <f>' PRIHODI I RASHODI-izvori'!H179+' PRIHODI I RASHODI-izvori'!H349+' PRIHODI I RASHODI-izvori'!H481+' PRIHODI I RASHODI-izvori'!H507+' PRIHODI I RASHODI-izvori'!H541</f>
        <v>59304.33</v>
      </c>
      <c r="H168" s="80">
        <f>' PRIHODI I RASHODI-izvori'!I179+' PRIHODI I RASHODI-izvori'!I349+' PRIHODI I RASHODI-izvori'!I481+' PRIHODI I RASHODI-izvori'!I507+' PRIHODI I RASHODI-izvori'!I541</f>
        <v>61407.07</v>
      </c>
    </row>
    <row r="169" spans="1:8" x14ac:dyDescent="0.25">
      <c r="A169" s="38"/>
      <c r="B169" s="83">
        <v>324</v>
      </c>
      <c r="C169" s="83" t="s">
        <v>296</v>
      </c>
      <c r="D169" s="84">
        <f t="shared" ref="D169:H169" si="36">SUM(D171)</f>
        <v>0</v>
      </c>
      <c r="E169" s="84">
        <f t="shared" si="36"/>
        <v>0</v>
      </c>
      <c r="F169" s="84">
        <f t="shared" si="36"/>
        <v>400</v>
      </c>
      <c r="G169" s="84">
        <f t="shared" si="36"/>
        <v>400</v>
      </c>
      <c r="H169" s="84">
        <f t="shared" si="36"/>
        <v>400</v>
      </c>
    </row>
    <row r="170" spans="1:8" x14ac:dyDescent="0.25">
      <c r="A170" s="38"/>
      <c r="B170" s="83">
        <v>3241</v>
      </c>
      <c r="C170" s="82" t="s">
        <v>297</v>
      </c>
      <c r="D170" s="84">
        <f t="shared" ref="D170:H170" si="37">D171</f>
        <v>0</v>
      </c>
      <c r="E170" s="84">
        <f t="shared" si="37"/>
        <v>0</v>
      </c>
      <c r="F170" s="84">
        <f t="shared" si="37"/>
        <v>400</v>
      </c>
      <c r="G170" s="84">
        <f t="shared" si="37"/>
        <v>400</v>
      </c>
      <c r="H170" s="84">
        <f t="shared" si="37"/>
        <v>400</v>
      </c>
    </row>
    <row r="171" spans="1:8" x14ac:dyDescent="0.25">
      <c r="A171" s="38"/>
      <c r="B171" s="82">
        <v>32412</v>
      </c>
      <c r="C171" s="82" t="s">
        <v>456</v>
      </c>
      <c r="D171" s="80">
        <f>' PRIHODI I RASHODI-izvori'!E352</f>
        <v>0</v>
      </c>
      <c r="E171" s="80">
        <f>' PRIHODI I RASHODI-izvori'!F352</f>
        <v>0</v>
      </c>
      <c r="F171" s="80">
        <f>' PRIHODI I RASHODI-izvori'!G352</f>
        <v>400</v>
      </c>
      <c r="G171" s="80">
        <f>' PRIHODI I RASHODI-izvori'!H352</f>
        <v>400</v>
      </c>
      <c r="H171" s="80">
        <f>' PRIHODI I RASHODI-izvori'!I352</f>
        <v>400</v>
      </c>
    </row>
    <row r="172" spans="1:8" s="89" customFormat="1" x14ac:dyDescent="0.25">
      <c r="A172" s="38"/>
      <c r="B172" s="83">
        <v>325</v>
      </c>
      <c r="C172" s="83" t="s">
        <v>638</v>
      </c>
      <c r="D172" s="84" t="e">
        <f>D173+D176+D178</f>
        <v>#REF!</v>
      </c>
      <c r="E172" s="84" t="e">
        <f t="shared" ref="E172:H172" si="38">E173+E176+E178</f>
        <v>#REF!</v>
      </c>
      <c r="F172" s="84">
        <f t="shared" si="38"/>
        <v>4791893.37</v>
      </c>
      <c r="G172" s="84">
        <f t="shared" si="38"/>
        <v>4885653</v>
      </c>
      <c r="H172" s="84">
        <f t="shared" si="38"/>
        <v>4967573.4000000004</v>
      </c>
    </row>
    <row r="173" spans="1:8" s="89" customFormat="1" x14ac:dyDescent="0.25">
      <c r="A173" s="38"/>
      <c r="B173" s="83">
        <v>3251</v>
      </c>
      <c r="C173" s="83" t="s">
        <v>638</v>
      </c>
      <c r="D173" s="84" t="e">
        <f>D174+D175</f>
        <v>#REF!</v>
      </c>
      <c r="E173" s="84" t="e">
        <f t="shared" ref="E173:H173" si="39">E174+E175</f>
        <v>#REF!</v>
      </c>
      <c r="F173" s="84">
        <f t="shared" si="39"/>
        <v>1023560.37</v>
      </c>
      <c r="G173" s="84">
        <f t="shared" si="39"/>
        <v>1071920</v>
      </c>
      <c r="H173" s="84">
        <f t="shared" si="39"/>
        <v>1122040.3999999999</v>
      </c>
    </row>
    <row r="174" spans="1:8" x14ac:dyDescent="0.25">
      <c r="A174" s="38"/>
      <c r="B174" s="82">
        <v>32511</v>
      </c>
      <c r="C174" s="82" t="s">
        <v>587</v>
      </c>
      <c r="D174" s="80" t="e">
        <f>' PRIHODI I RASHODI-izvori'!E60+' PRIHODI I RASHODI-izvori'!E182+' PRIHODI I RASHODI-izvori'!E355</f>
        <v>#REF!</v>
      </c>
      <c r="E174" s="80" t="e">
        <f>' PRIHODI I RASHODI-izvori'!F60+' PRIHODI I RASHODI-izvori'!F182+' PRIHODI I RASHODI-izvori'!F355</f>
        <v>#REF!</v>
      </c>
      <c r="F174" s="80">
        <f>' PRIHODI I RASHODI-izvori'!G60+' PRIHODI I RASHODI-izvori'!G182+' PRIHODI I RASHODI-izvori'!G355</f>
        <v>67954.210000000006</v>
      </c>
      <c r="G174" s="80">
        <f>' PRIHODI I RASHODI-izvori'!H60+' PRIHODI I RASHODI-izvori'!H182+' PRIHODI I RASHODI-izvori'!H355</f>
        <v>81200</v>
      </c>
      <c r="H174" s="80">
        <f>' PRIHODI I RASHODI-izvori'!I60+' PRIHODI I RASHODI-izvori'!I182+' PRIHODI I RASHODI-izvori'!I355</f>
        <v>95500</v>
      </c>
    </row>
    <row r="175" spans="1:8" x14ac:dyDescent="0.25">
      <c r="A175" s="38"/>
      <c r="B175" s="82">
        <v>32513</v>
      </c>
      <c r="C175" s="82" t="s">
        <v>588</v>
      </c>
      <c r="D175" s="80" t="e">
        <f>' PRIHODI I RASHODI-izvori'!E61+' PRIHODI I RASHODI-izvori'!E183+' PRIHODI I RASHODI-izvori'!E356+' PRIHODI I RASHODI-izvori'!E565+' PRIHODI I RASHODI-izvori'!#REF!</f>
        <v>#REF!</v>
      </c>
      <c r="E175" s="80" t="e">
        <f>' PRIHODI I RASHODI-izvori'!F61+' PRIHODI I RASHODI-izvori'!F183+' PRIHODI I RASHODI-izvori'!F356+' PRIHODI I RASHODI-izvori'!F565+' PRIHODI I RASHODI-izvori'!#REF!</f>
        <v>#REF!</v>
      </c>
      <c r="F175" s="80">
        <f>' PRIHODI I RASHODI-izvori'!G183+' PRIHODI I RASHODI-izvori'!G356+' PRIHODI I RASHODI-izvori'!G510+' PRIHODI I RASHODI-izvori'!G565</f>
        <v>955606.16</v>
      </c>
      <c r="G175" s="80">
        <f>' PRIHODI I RASHODI-izvori'!H183+' PRIHODI I RASHODI-izvori'!H356+' PRIHODI I RASHODI-izvori'!H510+' PRIHODI I RASHODI-izvori'!H565</f>
        <v>990720</v>
      </c>
      <c r="H175" s="80">
        <f>' PRIHODI I RASHODI-izvori'!I183+' PRIHODI I RASHODI-izvori'!I356+' PRIHODI I RASHODI-izvori'!I510+' PRIHODI I RASHODI-izvori'!I565</f>
        <v>1026540.4</v>
      </c>
    </row>
    <row r="176" spans="1:8" s="89" customFormat="1" x14ac:dyDescent="0.25">
      <c r="A176" s="38"/>
      <c r="B176" s="501" t="s">
        <v>619</v>
      </c>
      <c r="C176" s="83" t="s">
        <v>621</v>
      </c>
      <c r="D176" s="84">
        <f>D177</f>
        <v>0</v>
      </c>
      <c r="E176" s="84">
        <f t="shared" ref="E176:H176" si="40">E177</f>
        <v>0</v>
      </c>
      <c r="F176" s="84">
        <f t="shared" si="40"/>
        <v>9000</v>
      </c>
      <c r="G176" s="84">
        <f t="shared" si="40"/>
        <v>10000</v>
      </c>
      <c r="H176" s="84">
        <f t="shared" si="40"/>
        <v>11000</v>
      </c>
    </row>
    <row r="177" spans="1:8" x14ac:dyDescent="0.25">
      <c r="A177" s="38"/>
      <c r="B177" s="502" t="s">
        <v>620</v>
      </c>
      <c r="C177" s="82" t="s">
        <v>626</v>
      </c>
      <c r="D177" s="80">
        <f>' PRIHODI I RASHODI-izvori'!E358+' PRIHODI I RASHODI-izvori'!E185</f>
        <v>0</v>
      </c>
      <c r="E177" s="80">
        <f>' PRIHODI I RASHODI-izvori'!F358+' PRIHODI I RASHODI-izvori'!F185</f>
        <v>0</v>
      </c>
      <c r="F177" s="80">
        <f>' PRIHODI I RASHODI-izvori'!G358+' PRIHODI I RASHODI-izvori'!G185</f>
        <v>9000</v>
      </c>
      <c r="G177" s="80">
        <f>' PRIHODI I RASHODI-izvori'!H358+' PRIHODI I RASHODI-izvori'!H185</f>
        <v>10000</v>
      </c>
      <c r="H177" s="80">
        <f>' PRIHODI I RASHODI-izvori'!I358+' PRIHODI I RASHODI-izvori'!I185</f>
        <v>11000</v>
      </c>
    </row>
    <row r="178" spans="1:8" s="89" customFormat="1" x14ac:dyDescent="0.25">
      <c r="A178" s="38"/>
      <c r="B178" s="501" t="s">
        <v>622</v>
      </c>
      <c r="C178" s="83" t="s">
        <v>624</v>
      </c>
      <c r="D178" s="84">
        <f>D179</f>
        <v>0</v>
      </c>
      <c r="E178" s="84">
        <f t="shared" ref="E178:H178" si="41">E179</f>
        <v>0</v>
      </c>
      <c r="F178" s="84">
        <f t="shared" si="41"/>
        <v>3759333</v>
      </c>
      <c r="G178" s="84">
        <f t="shared" si="41"/>
        <v>3803733</v>
      </c>
      <c r="H178" s="84">
        <f t="shared" si="41"/>
        <v>3834533</v>
      </c>
    </row>
    <row r="179" spans="1:8" x14ac:dyDescent="0.25">
      <c r="A179" s="38"/>
      <c r="B179" s="502" t="s">
        <v>623</v>
      </c>
      <c r="C179" s="82" t="s">
        <v>625</v>
      </c>
      <c r="D179" s="80">
        <f>' PRIHODI I RASHODI-izvori'!E360+' PRIHODI I RASHODI-izvori'!E187</f>
        <v>0</v>
      </c>
      <c r="E179" s="80">
        <f>' PRIHODI I RASHODI-izvori'!F360+' PRIHODI I RASHODI-izvori'!F187</f>
        <v>0</v>
      </c>
      <c r="F179" s="80">
        <f>' PRIHODI I RASHODI-izvori'!G360+' PRIHODI I RASHODI-izvori'!G187</f>
        <v>3759333</v>
      </c>
      <c r="G179" s="80">
        <f>' PRIHODI I RASHODI-izvori'!H360+' PRIHODI I RASHODI-izvori'!H187</f>
        <v>3803733</v>
      </c>
      <c r="H179" s="80">
        <f>' PRIHODI I RASHODI-izvori'!I360+' PRIHODI I RASHODI-izvori'!I187</f>
        <v>3834533</v>
      </c>
    </row>
    <row r="180" spans="1:8" x14ac:dyDescent="0.25">
      <c r="A180" s="38"/>
      <c r="B180" s="83">
        <v>329</v>
      </c>
      <c r="C180" s="83" t="s">
        <v>144</v>
      </c>
      <c r="D180" s="84" t="e">
        <f t="shared" ref="D180:H180" si="42">D181+D183+D187+D189+D191+D197+D199</f>
        <v>#REF!</v>
      </c>
      <c r="E180" s="84" t="e">
        <f t="shared" si="42"/>
        <v>#REF!</v>
      </c>
      <c r="F180" s="84">
        <f t="shared" si="42"/>
        <v>172834.46</v>
      </c>
      <c r="G180" s="84">
        <f t="shared" si="42"/>
        <v>180644.46</v>
      </c>
      <c r="H180" s="84">
        <f t="shared" si="42"/>
        <v>191254.46</v>
      </c>
    </row>
    <row r="181" spans="1:8" x14ac:dyDescent="0.25">
      <c r="A181" s="38"/>
      <c r="B181" s="83">
        <v>3291</v>
      </c>
      <c r="C181" s="83" t="s">
        <v>298</v>
      </c>
      <c r="D181" s="84">
        <f t="shared" ref="D181:H181" si="43">SUM(D182)</f>
        <v>0</v>
      </c>
      <c r="E181" s="84">
        <f t="shared" si="43"/>
        <v>0</v>
      </c>
      <c r="F181" s="84">
        <f t="shared" si="43"/>
        <v>25500</v>
      </c>
      <c r="G181" s="84">
        <f t="shared" si="43"/>
        <v>27500</v>
      </c>
      <c r="H181" s="84">
        <f t="shared" si="43"/>
        <v>30500</v>
      </c>
    </row>
    <row r="182" spans="1:8" x14ac:dyDescent="0.25">
      <c r="A182" s="38"/>
      <c r="B182" s="82">
        <v>32911</v>
      </c>
      <c r="C182" s="82" t="s">
        <v>298</v>
      </c>
      <c r="D182" s="80">
        <f>' PRIHODI I RASHODI-izvori'!E363</f>
        <v>0</v>
      </c>
      <c r="E182" s="80">
        <f>' PRIHODI I RASHODI-izvori'!F363</f>
        <v>0</v>
      </c>
      <c r="F182" s="80">
        <f>' PRIHODI I RASHODI-izvori'!G363</f>
        <v>25500</v>
      </c>
      <c r="G182" s="80">
        <f>' PRIHODI I RASHODI-izvori'!H363</f>
        <v>27500</v>
      </c>
      <c r="H182" s="80">
        <f>' PRIHODI I RASHODI-izvori'!I363</f>
        <v>30500</v>
      </c>
    </row>
    <row r="183" spans="1:8" x14ac:dyDescent="0.25">
      <c r="A183" s="38"/>
      <c r="B183" s="83">
        <v>3292</v>
      </c>
      <c r="C183" s="83" t="s">
        <v>448</v>
      </c>
      <c r="D183" s="84" t="e">
        <f t="shared" ref="D183:H183" si="44">SUM(D184:D186)</f>
        <v>#REF!</v>
      </c>
      <c r="E183" s="84" t="e">
        <f t="shared" si="44"/>
        <v>#REF!</v>
      </c>
      <c r="F183" s="84">
        <f t="shared" si="44"/>
        <v>85154.459999999992</v>
      </c>
      <c r="G183" s="84">
        <f t="shared" si="44"/>
        <v>89104.459999999992</v>
      </c>
      <c r="H183" s="84">
        <f t="shared" si="44"/>
        <v>93854.459999999992</v>
      </c>
    </row>
    <row r="184" spans="1:8" x14ac:dyDescent="0.25">
      <c r="A184" s="38"/>
      <c r="B184" s="82">
        <v>32921</v>
      </c>
      <c r="C184" s="82" t="s">
        <v>450</v>
      </c>
      <c r="D184" s="80">
        <f>' PRIHODI I RASHODI-izvori'!E365+' PRIHODI I RASHODI-izvori'!E191+' PRIHODI I RASHODI-izvori'!E590</f>
        <v>0</v>
      </c>
      <c r="E184" s="80">
        <f>' PRIHODI I RASHODI-izvori'!F365+' PRIHODI I RASHODI-izvori'!F191+' PRIHODI I RASHODI-izvori'!F590</f>
        <v>0</v>
      </c>
      <c r="F184" s="80">
        <f>' PRIHODI I RASHODI-izvori'!G365+' PRIHODI I RASHODI-izvori'!G191+' PRIHODI I RASHODI-izvori'!G590</f>
        <v>24654.46</v>
      </c>
      <c r="G184" s="80">
        <f>' PRIHODI I RASHODI-izvori'!H365+' PRIHODI I RASHODI-izvori'!H191+' PRIHODI I RASHODI-izvori'!H590</f>
        <v>25404.46</v>
      </c>
      <c r="H184" s="80">
        <f>' PRIHODI I RASHODI-izvori'!I365+' PRIHODI I RASHODI-izvori'!I191+' PRIHODI I RASHODI-izvori'!I590</f>
        <v>26654.46</v>
      </c>
    </row>
    <row r="185" spans="1:8" x14ac:dyDescent="0.25">
      <c r="A185" s="38"/>
      <c r="B185" s="82">
        <v>32922</v>
      </c>
      <c r="C185" s="82" t="s">
        <v>449</v>
      </c>
      <c r="D185" s="80">
        <f>' PRIHODI I RASHODI-izvori'!E366</f>
        <v>0</v>
      </c>
      <c r="E185" s="80">
        <f>' PRIHODI I RASHODI-izvori'!F366</f>
        <v>0</v>
      </c>
      <c r="F185" s="80">
        <f>' PRIHODI I RASHODI-izvori'!G366</f>
        <v>32800</v>
      </c>
      <c r="G185" s="80">
        <f>' PRIHODI I RASHODI-izvori'!H366</f>
        <v>34000</v>
      </c>
      <c r="H185" s="80">
        <f>' PRIHODI I RASHODI-izvori'!I366</f>
        <v>35500</v>
      </c>
    </row>
    <row r="186" spans="1:8" x14ac:dyDescent="0.25">
      <c r="A186" s="38"/>
      <c r="B186" s="82">
        <v>32923</v>
      </c>
      <c r="C186" s="82" t="s">
        <v>447</v>
      </c>
      <c r="D186" s="80" t="e">
        <f>' PRIHODI I RASHODI-izvori'!E367+' PRIHODI I RASHODI-izvori'!E64</f>
        <v>#REF!</v>
      </c>
      <c r="E186" s="80" t="e">
        <f>' PRIHODI I RASHODI-izvori'!F367+' PRIHODI I RASHODI-izvori'!F64</f>
        <v>#REF!</v>
      </c>
      <c r="F186" s="80">
        <f>' PRIHODI I RASHODI-izvori'!G367+' PRIHODI I RASHODI-izvori'!G64</f>
        <v>27700</v>
      </c>
      <c r="G186" s="80">
        <f>' PRIHODI I RASHODI-izvori'!H367+' PRIHODI I RASHODI-izvori'!H64</f>
        <v>29700</v>
      </c>
      <c r="H186" s="80">
        <f>' PRIHODI I RASHODI-izvori'!I367+' PRIHODI I RASHODI-izvori'!I64</f>
        <v>31700</v>
      </c>
    </row>
    <row r="187" spans="1:8" x14ac:dyDescent="0.25">
      <c r="A187" s="38"/>
      <c r="B187" s="83">
        <v>3293</v>
      </c>
      <c r="C187" s="83" t="s">
        <v>148</v>
      </c>
      <c r="D187" s="84" t="e">
        <f t="shared" ref="D187:H187" si="45">SUM(D188)</f>
        <v>#REF!</v>
      </c>
      <c r="E187" s="84" t="e">
        <f t="shared" si="45"/>
        <v>#REF!</v>
      </c>
      <c r="F187" s="84">
        <f t="shared" si="45"/>
        <v>9350</v>
      </c>
      <c r="G187" s="84">
        <f t="shared" si="45"/>
        <v>8750</v>
      </c>
      <c r="H187" s="84">
        <f t="shared" si="45"/>
        <v>9250</v>
      </c>
    </row>
    <row r="188" spans="1:8" x14ac:dyDescent="0.25">
      <c r="A188" s="38"/>
      <c r="B188" s="82">
        <v>32931</v>
      </c>
      <c r="C188" s="82" t="s">
        <v>148</v>
      </c>
      <c r="D188" s="80" t="e">
        <f>' PRIHODI I RASHODI-izvori'!E369+' PRIHODI I RASHODI-izvori'!E193+' PRIHODI I RASHODI-izvori'!E484+' PRIHODI I RASHODI-izvori'!E66</f>
        <v>#REF!</v>
      </c>
      <c r="E188" s="80" t="e">
        <f>' PRIHODI I RASHODI-izvori'!F369+' PRIHODI I RASHODI-izvori'!F193+' PRIHODI I RASHODI-izvori'!F484+' PRIHODI I RASHODI-izvori'!F66</f>
        <v>#REF!</v>
      </c>
      <c r="F188" s="80">
        <f>' PRIHODI I RASHODI-izvori'!G193+' PRIHODI I RASHODI-izvori'!G369+' PRIHODI I RASHODI-izvori'!G484</f>
        <v>9350</v>
      </c>
      <c r="G188" s="80">
        <f>' PRIHODI I RASHODI-izvori'!H193+' PRIHODI I RASHODI-izvori'!H369+' PRIHODI I RASHODI-izvori'!H484</f>
        <v>8750</v>
      </c>
      <c r="H188" s="80">
        <f>' PRIHODI I RASHODI-izvori'!I193+' PRIHODI I RASHODI-izvori'!I369+' PRIHODI I RASHODI-izvori'!I484</f>
        <v>9250</v>
      </c>
    </row>
    <row r="189" spans="1:8" x14ac:dyDescent="0.25">
      <c r="A189" s="38"/>
      <c r="B189" s="83">
        <v>3294</v>
      </c>
      <c r="C189" s="83" t="s">
        <v>149</v>
      </c>
      <c r="D189" s="84">
        <f t="shared" ref="D189:H189" si="46">SUM(D190)</f>
        <v>0</v>
      </c>
      <c r="E189" s="84">
        <f t="shared" si="46"/>
        <v>0</v>
      </c>
      <c r="F189" s="84">
        <f t="shared" si="46"/>
        <v>8750</v>
      </c>
      <c r="G189" s="84">
        <f t="shared" si="46"/>
        <v>9000</v>
      </c>
      <c r="H189" s="84">
        <f t="shared" si="46"/>
        <v>9250</v>
      </c>
    </row>
    <row r="190" spans="1:8" x14ac:dyDescent="0.25">
      <c r="A190" s="38"/>
      <c r="B190" s="82">
        <v>32941</v>
      </c>
      <c r="C190" s="82" t="s">
        <v>451</v>
      </c>
      <c r="D190" s="80">
        <f>' PRIHODI I RASHODI-izvori'!E371+' PRIHODI I RASHODI-izvori'!E195</f>
        <v>0</v>
      </c>
      <c r="E190" s="80">
        <f>' PRIHODI I RASHODI-izvori'!F371+' PRIHODI I RASHODI-izvori'!F195</f>
        <v>0</v>
      </c>
      <c r="F190" s="80">
        <f>' PRIHODI I RASHODI-izvori'!G371+' PRIHODI I RASHODI-izvori'!G195</f>
        <v>8750</v>
      </c>
      <c r="G190" s="80">
        <f>' PRIHODI I RASHODI-izvori'!H371+' PRIHODI I RASHODI-izvori'!H195</f>
        <v>9000</v>
      </c>
      <c r="H190" s="80">
        <f>' PRIHODI I RASHODI-izvori'!I371+' PRIHODI I RASHODI-izvori'!I195</f>
        <v>9250</v>
      </c>
    </row>
    <row r="191" spans="1:8" x14ac:dyDescent="0.25">
      <c r="A191" s="38"/>
      <c r="B191" s="83">
        <v>3295</v>
      </c>
      <c r="C191" s="83" t="s">
        <v>150</v>
      </c>
      <c r="D191" s="84">
        <f>SUM(D192:D196)</f>
        <v>0</v>
      </c>
      <c r="E191" s="84">
        <f t="shared" ref="E191:H191" si="47">SUM(E192:E196)</f>
        <v>0</v>
      </c>
      <c r="F191" s="84">
        <f t="shared" si="47"/>
        <v>16360</v>
      </c>
      <c r="G191" s="84">
        <f t="shared" si="47"/>
        <v>16970</v>
      </c>
      <c r="H191" s="84">
        <f t="shared" si="47"/>
        <v>17480</v>
      </c>
    </row>
    <row r="192" spans="1:8" x14ac:dyDescent="0.25">
      <c r="A192" s="54"/>
      <c r="B192" s="82">
        <v>32951</v>
      </c>
      <c r="C192" s="82" t="s">
        <v>627</v>
      </c>
      <c r="D192" s="80">
        <f>' PRIHODI I RASHODI-izvori'!E373</f>
        <v>0</v>
      </c>
      <c r="E192" s="80">
        <f>' PRIHODI I RASHODI-izvori'!F373</f>
        <v>0</v>
      </c>
      <c r="F192" s="80">
        <f>' PRIHODI I RASHODI-izvori'!G373</f>
        <v>10</v>
      </c>
      <c r="G192" s="80">
        <f>' PRIHODI I RASHODI-izvori'!H373</f>
        <v>20</v>
      </c>
      <c r="H192" s="80">
        <f>' PRIHODI I RASHODI-izvori'!I373</f>
        <v>30</v>
      </c>
    </row>
    <row r="193" spans="1:8" x14ac:dyDescent="0.25">
      <c r="A193" s="38"/>
      <c r="B193" s="82">
        <v>32952</v>
      </c>
      <c r="C193" s="82" t="s">
        <v>453</v>
      </c>
      <c r="D193" s="80">
        <f>' PRIHODI I RASHODI-izvori'!E374</f>
        <v>0</v>
      </c>
      <c r="E193" s="80">
        <f>' PRIHODI I RASHODI-izvori'!F374</f>
        <v>0</v>
      </c>
      <c r="F193" s="80">
        <f>' PRIHODI I RASHODI-izvori'!G374</f>
        <v>1100</v>
      </c>
      <c r="G193" s="80">
        <f>' PRIHODI I RASHODI-izvori'!H374</f>
        <v>1300</v>
      </c>
      <c r="H193" s="80">
        <f>' PRIHODI I RASHODI-izvori'!I374</f>
        <v>1400</v>
      </c>
    </row>
    <row r="194" spans="1:8" x14ac:dyDescent="0.25">
      <c r="A194" s="38"/>
      <c r="B194" s="82">
        <v>32953</v>
      </c>
      <c r="C194" s="82" t="s">
        <v>454</v>
      </c>
      <c r="D194" s="80">
        <f>' PRIHODI I RASHODI-izvori'!E375</f>
        <v>0</v>
      </c>
      <c r="E194" s="80">
        <f>' PRIHODI I RASHODI-izvori'!F375</f>
        <v>0</v>
      </c>
      <c r="F194" s="80">
        <f>' PRIHODI I RASHODI-izvori'!G375</f>
        <v>800</v>
      </c>
      <c r="G194" s="80">
        <f>' PRIHODI I RASHODI-izvori'!H375</f>
        <v>900</v>
      </c>
      <c r="H194" s="80">
        <f>' PRIHODI I RASHODI-izvori'!I375</f>
        <v>1000</v>
      </c>
    </row>
    <row r="195" spans="1:8" x14ac:dyDescent="0.25">
      <c r="A195" s="38"/>
      <c r="B195" s="82">
        <v>32955</v>
      </c>
      <c r="C195" s="82" t="s">
        <v>641</v>
      </c>
      <c r="D195" s="80">
        <f>' PRIHODI I RASHODI-izvori'!E197</f>
        <v>0</v>
      </c>
      <c r="E195" s="80">
        <f>' PRIHODI I RASHODI-izvori'!F197</f>
        <v>0</v>
      </c>
      <c r="F195" s="80">
        <f>' PRIHODI I RASHODI-izvori'!G197</f>
        <v>12000</v>
      </c>
      <c r="G195" s="80">
        <f>' PRIHODI I RASHODI-izvori'!H197</f>
        <v>12000</v>
      </c>
      <c r="H195" s="80">
        <f>' PRIHODI I RASHODI-izvori'!I197</f>
        <v>12000</v>
      </c>
    </row>
    <row r="196" spans="1:8" x14ac:dyDescent="0.25">
      <c r="A196" s="38"/>
      <c r="B196" s="82">
        <v>32959</v>
      </c>
      <c r="C196" s="82" t="s">
        <v>452</v>
      </c>
      <c r="D196" s="80">
        <f>' PRIHODI I RASHODI-izvori'!E376</f>
        <v>0</v>
      </c>
      <c r="E196" s="80">
        <f>' PRIHODI I RASHODI-izvori'!F376</f>
        <v>0</v>
      </c>
      <c r="F196" s="80">
        <f>' PRIHODI I RASHODI-izvori'!G376</f>
        <v>2450</v>
      </c>
      <c r="G196" s="80">
        <f>' PRIHODI I RASHODI-izvori'!H376</f>
        <v>2750</v>
      </c>
      <c r="H196" s="80">
        <f>' PRIHODI I RASHODI-izvori'!I376</f>
        <v>3050</v>
      </c>
    </row>
    <row r="197" spans="1:8" x14ac:dyDescent="0.25">
      <c r="A197" s="38"/>
      <c r="B197" s="83">
        <v>3296</v>
      </c>
      <c r="C197" s="83" t="s">
        <v>151</v>
      </c>
      <c r="D197" s="84">
        <f t="shared" ref="D197:H197" si="48">SUM(D198)</f>
        <v>0</v>
      </c>
      <c r="E197" s="84">
        <f t="shared" si="48"/>
        <v>0</v>
      </c>
      <c r="F197" s="84">
        <f t="shared" si="48"/>
        <v>4000</v>
      </c>
      <c r="G197" s="84">
        <f t="shared" si="48"/>
        <v>4500</v>
      </c>
      <c r="H197" s="84">
        <f t="shared" si="48"/>
        <v>5000</v>
      </c>
    </row>
    <row r="198" spans="1:8" x14ac:dyDescent="0.25">
      <c r="A198" s="38"/>
      <c r="B198" s="82">
        <v>32961</v>
      </c>
      <c r="C198" s="82" t="s">
        <v>151</v>
      </c>
      <c r="D198" s="80">
        <f>' PRIHODI I RASHODI-izvori'!E378</f>
        <v>0</v>
      </c>
      <c r="E198" s="80">
        <f>' PRIHODI I RASHODI-izvori'!F378</f>
        <v>0</v>
      </c>
      <c r="F198" s="80">
        <f>' PRIHODI I RASHODI-izvori'!G378</f>
        <v>4000</v>
      </c>
      <c r="G198" s="80">
        <f>' PRIHODI I RASHODI-izvori'!H378</f>
        <v>4500</v>
      </c>
      <c r="H198" s="80">
        <f>' PRIHODI I RASHODI-izvori'!I378</f>
        <v>5000</v>
      </c>
    </row>
    <row r="199" spans="1:8" x14ac:dyDescent="0.25">
      <c r="A199" s="38"/>
      <c r="B199" s="83">
        <v>3299</v>
      </c>
      <c r="C199" s="83" t="s">
        <v>144</v>
      </c>
      <c r="D199" s="84" t="e">
        <f t="shared" ref="D199:H199" si="49">SUM(D200:D201)</f>
        <v>#REF!</v>
      </c>
      <c r="E199" s="84" t="e">
        <f t="shared" si="49"/>
        <v>#REF!</v>
      </c>
      <c r="F199" s="84">
        <f t="shared" si="49"/>
        <v>23720</v>
      </c>
      <c r="G199" s="84">
        <f t="shared" si="49"/>
        <v>24820</v>
      </c>
      <c r="H199" s="84">
        <f t="shared" si="49"/>
        <v>25920</v>
      </c>
    </row>
    <row r="200" spans="1:8" x14ac:dyDescent="0.25">
      <c r="A200" s="38"/>
      <c r="B200" s="82">
        <v>32991</v>
      </c>
      <c r="C200" s="82" t="s">
        <v>455</v>
      </c>
      <c r="D200" s="80">
        <f>' PRIHODI I RASHODI-izvori'!E380</f>
        <v>0</v>
      </c>
      <c r="E200" s="80">
        <f>' PRIHODI I RASHODI-izvori'!F380</f>
        <v>0</v>
      </c>
      <c r="F200" s="80">
        <f>' PRIHODI I RASHODI-izvori'!G380</f>
        <v>200</v>
      </c>
      <c r="G200" s="80">
        <f>' PRIHODI I RASHODI-izvori'!H380</f>
        <v>300</v>
      </c>
      <c r="H200" s="80">
        <f>' PRIHODI I RASHODI-izvori'!I380</f>
        <v>400</v>
      </c>
    </row>
    <row r="201" spans="1:8" x14ac:dyDescent="0.25">
      <c r="A201" s="38"/>
      <c r="B201" s="82">
        <v>32999</v>
      </c>
      <c r="C201" s="82" t="s">
        <v>144</v>
      </c>
      <c r="D201" s="80" t="e">
        <f>' PRIHODI I RASHODI-izvori'!E381+' PRIHODI I RASHODI-izvori'!E68</f>
        <v>#REF!</v>
      </c>
      <c r="E201" s="80" t="e">
        <f>' PRIHODI I RASHODI-izvori'!F381+' PRIHODI I RASHODI-izvori'!F68</f>
        <v>#REF!</v>
      </c>
      <c r="F201" s="80">
        <f>' PRIHODI I RASHODI-izvori'!G68+' PRIHODI I RASHODI-izvori'!G381</f>
        <v>23520</v>
      </c>
      <c r="G201" s="80">
        <f>' PRIHODI I RASHODI-izvori'!H68+' PRIHODI I RASHODI-izvori'!H381</f>
        <v>24520</v>
      </c>
      <c r="H201" s="80">
        <f>' PRIHODI I RASHODI-izvori'!I68+' PRIHODI I RASHODI-izvori'!I381</f>
        <v>25520</v>
      </c>
    </row>
    <row r="202" spans="1:8" x14ac:dyDescent="0.25">
      <c r="A202" s="38"/>
      <c r="B202" s="98">
        <v>34</v>
      </c>
      <c r="C202" s="98" t="s">
        <v>299</v>
      </c>
      <c r="D202" s="99">
        <f t="shared" ref="D202:H202" si="50">D203</f>
        <v>0</v>
      </c>
      <c r="E202" s="99">
        <f t="shared" si="50"/>
        <v>0</v>
      </c>
      <c r="F202" s="99">
        <f t="shared" si="50"/>
        <v>31975</v>
      </c>
      <c r="G202" s="99">
        <f t="shared" si="50"/>
        <v>31808</v>
      </c>
      <c r="H202" s="99">
        <f t="shared" si="50"/>
        <v>32243.759999999998</v>
      </c>
    </row>
    <row r="203" spans="1:8" x14ac:dyDescent="0.25">
      <c r="A203" s="38"/>
      <c r="B203" s="83">
        <v>343</v>
      </c>
      <c r="C203" s="83" t="s">
        <v>154</v>
      </c>
      <c r="D203" s="84">
        <f>D204+D207+D208+D213</f>
        <v>0</v>
      </c>
      <c r="E203" s="84">
        <f t="shared" ref="E203:H203" si="51">E204+E207+E208+E213</f>
        <v>0</v>
      </c>
      <c r="F203" s="84">
        <f>F204+F207+F208+F213</f>
        <v>31975</v>
      </c>
      <c r="G203" s="84">
        <f t="shared" si="51"/>
        <v>31808</v>
      </c>
      <c r="H203" s="84">
        <f t="shared" si="51"/>
        <v>32243.759999999998</v>
      </c>
    </row>
    <row r="204" spans="1:8" x14ac:dyDescent="0.25">
      <c r="A204" s="38"/>
      <c r="B204" s="83">
        <v>3431</v>
      </c>
      <c r="C204" s="83" t="s">
        <v>300</v>
      </c>
      <c r="D204" s="84">
        <f>SUM(D205:D206)</f>
        <v>0</v>
      </c>
      <c r="E204" s="84">
        <f t="shared" ref="E204:H204" si="52">SUM(E205:E206)</f>
        <v>0</v>
      </c>
      <c r="F204" s="84">
        <f>SUM(F205:F206)</f>
        <v>29700</v>
      </c>
      <c r="G204" s="84">
        <f t="shared" si="52"/>
        <v>29550</v>
      </c>
      <c r="H204" s="84">
        <f t="shared" si="52"/>
        <v>29900</v>
      </c>
    </row>
    <row r="205" spans="1:8" x14ac:dyDescent="0.25">
      <c r="A205" s="54"/>
      <c r="B205" s="82">
        <v>34311</v>
      </c>
      <c r="C205" s="82" t="s">
        <v>628</v>
      </c>
      <c r="D205" s="80">
        <f>' PRIHODI I RASHODI-izvori'!E385</f>
        <v>0</v>
      </c>
      <c r="E205" s="80">
        <f>' PRIHODI I RASHODI-izvori'!F385</f>
        <v>0</v>
      </c>
      <c r="F205" s="80">
        <f>' PRIHODI I RASHODI-izvori'!G385</f>
        <v>13000</v>
      </c>
      <c r="G205" s="80">
        <f>' PRIHODI I RASHODI-izvori'!H385</f>
        <v>13000</v>
      </c>
      <c r="H205" s="80">
        <f>' PRIHODI I RASHODI-izvori'!I385</f>
        <v>13000</v>
      </c>
    </row>
    <row r="206" spans="1:8" x14ac:dyDescent="0.25">
      <c r="A206" s="38"/>
      <c r="B206" s="82">
        <v>34312</v>
      </c>
      <c r="C206" s="82" t="s">
        <v>457</v>
      </c>
      <c r="D206" s="80">
        <f>' PRIHODI I RASHODI-izvori'!E386+' PRIHODI I RASHODI-izvori'!E203</f>
        <v>0</v>
      </c>
      <c r="E206" s="80">
        <f>' PRIHODI I RASHODI-izvori'!F386+' PRIHODI I RASHODI-izvori'!F203</f>
        <v>0</v>
      </c>
      <c r="F206" s="80">
        <f>' PRIHODI I RASHODI-izvori'!G386+' PRIHODI I RASHODI-izvori'!G203</f>
        <v>16700</v>
      </c>
      <c r="G206" s="80">
        <f>' PRIHODI I RASHODI-izvori'!H386+' PRIHODI I RASHODI-izvori'!H203</f>
        <v>16550</v>
      </c>
      <c r="H206" s="80">
        <f>' PRIHODI I RASHODI-izvori'!I386+' PRIHODI I RASHODI-izvori'!I203</f>
        <v>16900</v>
      </c>
    </row>
    <row r="207" spans="1:8" hidden="1" x14ac:dyDescent="0.25">
      <c r="A207" s="38"/>
      <c r="B207" s="83">
        <v>3432</v>
      </c>
      <c r="C207" s="83" t="s">
        <v>205</v>
      </c>
      <c r="D207" s="80"/>
      <c r="E207" s="80"/>
      <c r="F207" s="80"/>
      <c r="G207" s="80"/>
      <c r="H207" s="80"/>
    </row>
    <row r="208" spans="1:8" x14ac:dyDescent="0.25">
      <c r="A208" s="38"/>
      <c r="B208" s="83">
        <v>3433</v>
      </c>
      <c r="C208" s="83" t="s">
        <v>157</v>
      </c>
      <c r="D208" s="84">
        <f t="shared" ref="D208" si="53">SUM(D209:D212)</f>
        <v>0</v>
      </c>
      <c r="E208" s="84">
        <f t="shared" ref="E208:H208" si="54">SUM(E209:E212)</f>
        <v>0</v>
      </c>
      <c r="F208" s="84">
        <f t="shared" si="54"/>
        <v>1575</v>
      </c>
      <c r="G208" s="84">
        <f t="shared" si="54"/>
        <v>1520</v>
      </c>
      <c r="H208" s="84">
        <f t="shared" si="54"/>
        <v>1565</v>
      </c>
    </row>
    <row r="209" spans="1:8" x14ac:dyDescent="0.25">
      <c r="A209" s="38"/>
      <c r="B209" s="82">
        <v>34331</v>
      </c>
      <c r="C209" s="82" t="s">
        <v>458</v>
      </c>
      <c r="D209" s="80">
        <f>' PRIHODI I RASHODI-izvori'!E388</f>
        <v>0</v>
      </c>
      <c r="E209" s="80">
        <f>' PRIHODI I RASHODI-izvori'!F388</f>
        <v>0</v>
      </c>
      <c r="F209" s="80">
        <f>' PRIHODI I RASHODI-izvori'!G388</f>
        <v>25</v>
      </c>
      <c r="G209" s="80">
        <f>' PRIHODI I RASHODI-izvori'!H388</f>
        <v>30</v>
      </c>
      <c r="H209" s="80">
        <f>' PRIHODI I RASHODI-izvori'!I388</f>
        <v>35</v>
      </c>
    </row>
    <row r="210" spans="1:8" x14ac:dyDescent="0.25">
      <c r="A210" s="38"/>
      <c r="B210" s="82">
        <v>34332</v>
      </c>
      <c r="C210" s="82" t="s">
        <v>459</v>
      </c>
      <c r="D210" s="80">
        <f>' PRIHODI I RASHODI-izvori'!E389</f>
        <v>0</v>
      </c>
      <c r="E210" s="80">
        <f>' PRIHODI I RASHODI-izvori'!F389</f>
        <v>0</v>
      </c>
      <c r="F210" s="80">
        <f>' PRIHODI I RASHODI-izvori'!G389</f>
        <v>350</v>
      </c>
      <c r="G210" s="80">
        <f>' PRIHODI I RASHODI-izvori'!H389</f>
        <v>350</v>
      </c>
      <c r="H210" s="80">
        <f>' PRIHODI I RASHODI-izvori'!I389</f>
        <v>350</v>
      </c>
    </row>
    <row r="211" spans="1:8" x14ac:dyDescent="0.25">
      <c r="A211" s="38"/>
      <c r="B211" s="82">
        <v>34333</v>
      </c>
      <c r="C211" s="82" t="s">
        <v>460</v>
      </c>
      <c r="D211" s="80">
        <f>' PRIHODI I RASHODI-izvori'!E390</f>
        <v>0</v>
      </c>
      <c r="E211" s="80">
        <f>' PRIHODI I RASHODI-izvori'!F390</f>
        <v>0</v>
      </c>
      <c r="F211" s="80">
        <f>' PRIHODI I RASHODI-izvori'!G390</f>
        <v>600</v>
      </c>
      <c r="G211" s="80">
        <f>' PRIHODI I RASHODI-izvori'!H390</f>
        <v>515</v>
      </c>
      <c r="H211" s="80">
        <f>' PRIHODI I RASHODI-izvori'!I390</f>
        <v>530</v>
      </c>
    </row>
    <row r="212" spans="1:8" x14ac:dyDescent="0.25">
      <c r="A212" s="38"/>
      <c r="B212" s="82">
        <v>34339</v>
      </c>
      <c r="C212" s="82" t="s">
        <v>461</v>
      </c>
      <c r="D212" s="80">
        <f>' PRIHODI I RASHODI-izvori'!E391</f>
        <v>0</v>
      </c>
      <c r="E212" s="80">
        <f>' PRIHODI I RASHODI-izvori'!F391</f>
        <v>0</v>
      </c>
      <c r="F212" s="80">
        <f>' PRIHODI I RASHODI-izvori'!G391</f>
        <v>600</v>
      </c>
      <c r="G212" s="80">
        <f>' PRIHODI I RASHODI-izvori'!H391</f>
        <v>625</v>
      </c>
      <c r="H212" s="80">
        <f>' PRIHODI I RASHODI-izvori'!I391</f>
        <v>650</v>
      </c>
    </row>
    <row r="213" spans="1:8" x14ac:dyDescent="0.25">
      <c r="A213" s="38"/>
      <c r="B213" s="83">
        <v>3434</v>
      </c>
      <c r="C213" s="83" t="s">
        <v>301</v>
      </c>
      <c r="D213" s="84">
        <f>D214</f>
        <v>0</v>
      </c>
      <c r="E213" s="84">
        <f t="shared" ref="E213:H213" si="55">E214</f>
        <v>0</v>
      </c>
      <c r="F213" s="84">
        <f t="shared" si="55"/>
        <v>700</v>
      </c>
      <c r="G213" s="84">
        <f t="shared" si="55"/>
        <v>738</v>
      </c>
      <c r="H213" s="84">
        <f t="shared" si="55"/>
        <v>778.76</v>
      </c>
    </row>
    <row r="214" spans="1:8" x14ac:dyDescent="0.25">
      <c r="A214" s="38"/>
      <c r="B214" s="82">
        <v>34349</v>
      </c>
      <c r="C214" s="82" t="s">
        <v>301</v>
      </c>
      <c r="D214" s="80">
        <f>' PRIHODI I RASHODI-izvori'!E393+' PRIHODI I RASHODI-izvori'!E207</f>
        <v>0</v>
      </c>
      <c r="E214" s="80">
        <f>' PRIHODI I RASHODI-izvori'!F393+' PRIHODI I RASHODI-izvori'!F207</f>
        <v>0</v>
      </c>
      <c r="F214" s="80">
        <f>' PRIHODI I RASHODI-izvori'!G393+' PRIHODI I RASHODI-izvori'!G207</f>
        <v>700</v>
      </c>
      <c r="G214" s="80">
        <f>' PRIHODI I RASHODI-izvori'!H393+' PRIHODI I RASHODI-izvori'!H207</f>
        <v>738</v>
      </c>
      <c r="H214" s="80">
        <f>' PRIHODI I RASHODI-izvori'!I393+' PRIHODI I RASHODI-izvori'!I207</f>
        <v>778.76</v>
      </c>
    </row>
    <row r="215" spans="1:8" hidden="1" x14ac:dyDescent="0.25">
      <c r="A215" s="38"/>
      <c r="B215" s="98">
        <v>36</v>
      </c>
      <c r="C215" s="98" t="s">
        <v>302</v>
      </c>
      <c r="D215" s="99">
        <f t="shared" ref="D215:H215" si="56">SUM(D216)</f>
        <v>0</v>
      </c>
      <c r="E215" s="99">
        <f t="shared" si="56"/>
        <v>0</v>
      </c>
      <c r="F215" s="99">
        <f t="shared" si="56"/>
        <v>0</v>
      </c>
      <c r="G215" s="99">
        <f t="shared" si="56"/>
        <v>0</v>
      </c>
      <c r="H215" s="99">
        <f t="shared" si="56"/>
        <v>0</v>
      </c>
    </row>
    <row r="216" spans="1:8" hidden="1" x14ac:dyDescent="0.25">
      <c r="A216" s="38"/>
      <c r="B216" s="83">
        <v>369</v>
      </c>
      <c r="C216" s="83" t="s">
        <v>38</v>
      </c>
      <c r="D216" s="84">
        <f t="shared" ref="D216" si="57">SUM(D217:D218)</f>
        <v>0</v>
      </c>
      <c r="E216" s="84">
        <f t="shared" ref="E216:H216" si="58">SUM(E217:E218)</f>
        <v>0</v>
      </c>
      <c r="F216" s="84">
        <f t="shared" si="58"/>
        <v>0</v>
      </c>
      <c r="G216" s="84">
        <f t="shared" si="58"/>
        <v>0</v>
      </c>
      <c r="H216" s="84">
        <f t="shared" si="58"/>
        <v>0</v>
      </c>
    </row>
    <row r="217" spans="1:8" ht="15.75" hidden="1" customHeight="1" x14ac:dyDescent="0.25">
      <c r="A217" s="54"/>
      <c r="B217" s="83">
        <v>3691</v>
      </c>
      <c r="C217" s="86" t="s">
        <v>303</v>
      </c>
      <c r="D217" s="84"/>
      <c r="E217" s="84"/>
      <c r="F217" s="84"/>
      <c r="G217" s="84"/>
      <c r="H217" s="84"/>
    </row>
    <row r="218" spans="1:8" ht="15.75" hidden="1" customHeight="1" x14ac:dyDescent="0.25">
      <c r="A218" s="38"/>
      <c r="B218" s="83">
        <v>3692</v>
      </c>
      <c r="C218" s="86" t="s">
        <v>304</v>
      </c>
      <c r="D218" s="84"/>
      <c r="E218" s="84"/>
      <c r="F218" s="84"/>
      <c r="G218" s="84"/>
      <c r="H218" s="84"/>
    </row>
    <row r="219" spans="1:8" x14ac:dyDescent="0.25">
      <c r="A219" s="38"/>
      <c r="B219" s="98">
        <v>37</v>
      </c>
      <c r="C219" s="489" t="s">
        <v>162</v>
      </c>
      <c r="D219" s="99" t="e">
        <f t="shared" ref="D219:H220" si="59">D220</f>
        <v>#REF!</v>
      </c>
      <c r="E219" s="99" t="e">
        <f t="shared" si="59"/>
        <v>#REF!</v>
      </c>
      <c r="F219" s="99">
        <f t="shared" si="59"/>
        <v>4700</v>
      </c>
      <c r="G219" s="99">
        <f t="shared" si="59"/>
        <v>4764</v>
      </c>
      <c r="H219" s="99">
        <f t="shared" si="59"/>
        <v>4829.2800000000007</v>
      </c>
    </row>
    <row r="220" spans="1:8" x14ac:dyDescent="0.25">
      <c r="A220" s="38"/>
      <c r="B220" s="83">
        <v>372</v>
      </c>
      <c r="C220" s="83" t="s">
        <v>163</v>
      </c>
      <c r="D220" s="84" t="e">
        <f t="shared" si="59"/>
        <v>#REF!</v>
      </c>
      <c r="E220" s="84" t="e">
        <f t="shared" si="59"/>
        <v>#REF!</v>
      </c>
      <c r="F220" s="84">
        <f t="shared" si="59"/>
        <v>4700</v>
      </c>
      <c r="G220" s="84">
        <f t="shared" si="59"/>
        <v>4764</v>
      </c>
      <c r="H220" s="84">
        <f t="shared" si="59"/>
        <v>4829.2800000000007</v>
      </c>
    </row>
    <row r="221" spans="1:8" x14ac:dyDescent="0.25">
      <c r="A221" s="38"/>
      <c r="B221" s="83">
        <v>3721</v>
      </c>
      <c r="C221" s="83" t="s">
        <v>164</v>
      </c>
      <c r="D221" s="84" t="e">
        <f t="shared" ref="D221" si="60">SUM(D222:D223)</f>
        <v>#REF!</v>
      </c>
      <c r="E221" s="84" t="e">
        <f t="shared" ref="E221:H221" si="61">SUM(E222:E223)</f>
        <v>#REF!</v>
      </c>
      <c r="F221" s="84">
        <f t="shared" si="61"/>
        <v>4700</v>
      </c>
      <c r="G221" s="84">
        <f t="shared" si="61"/>
        <v>4764</v>
      </c>
      <c r="H221" s="84">
        <f t="shared" si="61"/>
        <v>4829.2800000000007</v>
      </c>
    </row>
    <row r="222" spans="1:8" x14ac:dyDescent="0.25">
      <c r="A222" s="38"/>
      <c r="B222" s="82">
        <v>37212</v>
      </c>
      <c r="C222" s="82" t="s">
        <v>462</v>
      </c>
      <c r="D222" s="80">
        <f>' PRIHODI I RASHODI-izvori'!E401</f>
        <v>0</v>
      </c>
      <c r="E222" s="80">
        <f>' PRIHODI I RASHODI-izvori'!F401</f>
        <v>0</v>
      </c>
      <c r="F222" s="80">
        <f>' PRIHODI I RASHODI-izvori'!G401</f>
        <v>1000</v>
      </c>
      <c r="G222" s="80">
        <f>' PRIHODI I RASHODI-izvori'!H401</f>
        <v>1000</v>
      </c>
      <c r="H222" s="80">
        <f>' PRIHODI I RASHODI-izvori'!I401</f>
        <v>1000</v>
      </c>
    </row>
    <row r="223" spans="1:8" x14ac:dyDescent="0.25">
      <c r="A223" s="38"/>
      <c r="B223" s="82">
        <v>37215</v>
      </c>
      <c r="C223" s="82" t="s">
        <v>463</v>
      </c>
      <c r="D223" s="80" t="e">
        <f>' PRIHODI I RASHODI-izvori'!E402+' PRIHODI I RASHODI-izvori'!#REF!</f>
        <v>#REF!</v>
      </c>
      <c r="E223" s="80" t="e">
        <f>' PRIHODI I RASHODI-izvori'!F402+' PRIHODI I RASHODI-izvori'!#REF!</f>
        <v>#REF!</v>
      </c>
      <c r="F223" s="80">
        <f>' PRIHODI I RASHODI-izvori'!G402+' PRIHODI I RASHODI-izvori'!G545</f>
        <v>3700</v>
      </c>
      <c r="G223" s="80">
        <f>' PRIHODI I RASHODI-izvori'!H402+' PRIHODI I RASHODI-izvori'!H545</f>
        <v>3764</v>
      </c>
      <c r="H223" s="80">
        <f>' PRIHODI I RASHODI-izvori'!I402+' PRIHODI I RASHODI-izvori'!I545</f>
        <v>3829.28</v>
      </c>
    </row>
    <row r="224" spans="1:8" x14ac:dyDescent="0.25">
      <c r="A224" s="38"/>
      <c r="B224" s="98">
        <v>38</v>
      </c>
      <c r="C224" s="98" t="s">
        <v>305</v>
      </c>
      <c r="D224" s="99">
        <f t="shared" ref="D224" si="62">SUM(D225,D227,D232)</f>
        <v>0</v>
      </c>
      <c r="E224" s="99">
        <f t="shared" ref="E224:H224" si="63">SUM(E225,E227,E232)</f>
        <v>0</v>
      </c>
      <c r="F224" s="99">
        <f t="shared" si="63"/>
        <v>3000</v>
      </c>
      <c r="G224" s="99">
        <f t="shared" si="63"/>
        <v>1520</v>
      </c>
      <c r="H224" s="99">
        <f t="shared" si="63"/>
        <v>1540.4</v>
      </c>
    </row>
    <row r="225" spans="1:8" hidden="1" x14ac:dyDescent="0.25">
      <c r="A225" s="38"/>
      <c r="B225" s="83">
        <v>381</v>
      </c>
      <c r="C225" s="83" t="s">
        <v>167</v>
      </c>
      <c r="D225" s="84">
        <f t="shared" ref="D225:H225" si="64">SUM(D226)</f>
        <v>0</v>
      </c>
      <c r="E225" s="84">
        <f t="shared" si="64"/>
        <v>0</v>
      </c>
      <c r="F225" s="84">
        <f t="shared" si="64"/>
        <v>0</v>
      </c>
      <c r="G225" s="84">
        <f t="shared" si="64"/>
        <v>0</v>
      </c>
      <c r="H225" s="84">
        <f t="shared" si="64"/>
        <v>0</v>
      </c>
    </row>
    <row r="226" spans="1:8" hidden="1" x14ac:dyDescent="0.25">
      <c r="A226" s="38"/>
      <c r="B226" s="83">
        <v>3811</v>
      </c>
      <c r="C226" s="83" t="s">
        <v>167</v>
      </c>
      <c r="D226" s="80"/>
      <c r="E226" s="80"/>
      <c r="F226" s="80"/>
      <c r="G226" s="80"/>
      <c r="H226" s="80"/>
    </row>
    <row r="227" spans="1:8" x14ac:dyDescent="0.25">
      <c r="A227" s="38"/>
      <c r="B227" s="83">
        <v>383</v>
      </c>
      <c r="C227" s="83" t="s">
        <v>169</v>
      </c>
      <c r="D227" s="84">
        <f t="shared" ref="D227" si="65">SUM(D228:D230)</f>
        <v>0</v>
      </c>
      <c r="E227" s="84">
        <f t="shared" ref="E227:H227" si="66">SUM(E228:E230)</f>
        <v>0</v>
      </c>
      <c r="F227" s="84">
        <f t="shared" si="66"/>
        <v>3000</v>
      </c>
      <c r="G227" s="84">
        <f t="shared" si="66"/>
        <v>1520</v>
      </c>
      <c r="H227" s="84">
        <f t="shared" si="66"/>
        <v>1540.4</v>
      </c>
    </row>
    <row r="228" spans="1:8" hidden="1" x14ac:dyDescent="0.25">
      <c r="A228" s="54"/>
      <c r="B228" s="83">
        <v>3831</v>
      </c>
      <c r="C228" s="83" t="s">
        <v>306</v>
      </c>
      <c r="D228" s="80"/>
      <c r="E228" s="80"/>
      <c r="F228" s="80"/>
      <c r="G228" s="80"/>
      <c r="H228" s="80"/>
    </row>
    <row r="229" spans="1:8" hidden="1" x14ac:dyDescent="0.25">
      <c r="A229" s="38"/>
      <c r="B229" s="83">
        <v>3833</v>
      </c>
      <c r="C229" s="83" t="s">
        <v>307</v>
      </c>
      <c r="D229" s="80"/>
      <c r="E229" s="80"/>
      <c r="F229" s="80"/>
      <c r="G229" s="80"/>
      <c r="H229" s="80"/>
    </row>
    <row r="230" spans="1:8" x14ac:dyDescent="0.25">
      <c r="A230" s="38"/>
      <c r="B230" s="83">
        <v>3834</v>
      </c>
      <c r="C230" s="83" t="s">
        <v>172</v>
      </c>
      <c r="D230" s="84">
        <f t="shared" ref="D230:H230" si="67">SUM(D231)</f>
        <v>0</v>
      </c>
      <c r="E230" s="84">
        <f t="shared" si="67"/>
        <v>0</v>
      </c>
      <c r="F230" s="84">
        <f t="shared" si="67"/>
        <v>3000</v>
      </c>
      <c r="G230" s="84">
        <f t="shared" si="67"/>
        <v>1520</v>
      </c>
      <c r="H230" s="84">
        <f t="shared" si="67"/>
        <v>1540.4</v>
      </c>
    </row>
    <row r="231" spans="1:8" x14ac:dyDescent="0.25">
      <c r="A231" s="38"/>
      <c r="B231" s="82">
        <v>38341</v>
      </c>
      <c r="C231" s="82" t="s">
        <v>172</v>
      </c>
      <c r="D231" s="80">
        <f>' PRIHODI I RASHODI-izvori'!E410+' PRIHODI I RASHODI-izvori'!E216</f>
        <v>0</v>
      </c>
      <c r="E231" s="80">
        <f>' PRIHODI I RASHODI-izvori'!F410+' PRIHODI I RASHODI-izvori'!F216</f>
        <v>0</v>
      </c>
      <c r="F231" s="80">
        <f>' PRIHODI I RASHODI-izvori'!G410+' PRIHODI I RASHODI-izvori'!G216</f>
        <v>3000</v>
      </c>
      <c r="G231" s="80">
        <f>' PRIHODI I RASHODI-izvori'!H410+' PRIHODI I RASHODI-izvori'!H216</f>
        <v>1520</v>
      </c>
      <c r="H231" s="80">
        <f>' PRIHODI I RASHODI-izvori'!I410+' PRIHODI I RASHODI-izvori'!I216</f>
        <v>1540.4</v>
      </c>
    </row>
    <row r="232" spans="1:8" hidden="1" x14ac:dyDescent="0.25">
      <c r="A232" s="38"/>
      <c r="B232" s="83">
        <v>385</v>
      </c>
      <c r="C232" s="83" t="s">
        <v>169</v>
      </c>
      <c r="D232" s="84">
        <f t="shared" ref="D232:H232" si="68">SUM(D233)</f>
        <v>0</v>
      </c>
      <c r="E232" s="84">
        <f t="shared" si="68"/>
        <v>0</v>
      </c>
      <c r="F232" s="84">
        <f t="shared" si="68"/>
        <v>0</v>
      </c>
      <c r="G232" s="84">
        <f t="shared" si="68"/>
        <v>0</v>
      </c>
      <c r="H232" s="84">
        <f t="shared" si="68"/>
        <v>0</v>
      </c>
    </row>
    <row r="233" spans="1:8" hidden="1" x14ac:dyDescent="0.25">
      <c r="A233" s="38"/>
      <c r="B233" s="83">
        <v>3859</v>
      </c>
      <c r="C233" s="83" t="s">
        <v>308</v>
      </c>
      <c r="D233" s="80"/>
      <c r="E233" s="80"/>
      <c r="F233" s="80"/>
      <c r="G233" s="80"/>
      <c r="H233" s="80"/>
    </row>
    <row r="234" spans="1:8" x14ac:dyDescent="0.25">
      <c r="A234" s="35">
        <v>4</v>
      </c>
      <c r="B234" s="97"/>
      <c r="C234" s="97" t="s">
        <v>174</v>
      </c>
      <c r="D234" s="90" t="e">
        <f>D235+D241+D268</f>
        <v>#REF!</v>
      </c>
      <c r="E234" s="90" t="e">
        <f>E235+E241+E268</f>
        <v>#REF!</v>
      </c>
      <c r="F234" s="90">
        <f>F235+F241+F268</f>
        <v>854875.27</v>
      </c>
      <c r="G234" s="90">
        <f>G235+G241+G268</f>
        <v>857825.27</v>
      </c>
      <c r="H234" s="90">
        <f>H235+H241+H268</f>
        <v>860775.27</v>
      </c>
    </row>
    <row r="235" spans="1:8" x14ac:dyDescent="0.25">
      <c r="A235" s="38"/>
      <c r="B235" s="98">
        <v>41</v>
      </c>
      <c r="C235" s="98" t="s">
        <v>309</v>
      </c>
      <c r="D235" s="99" t="e">
        <f t="shared" ref="D235" si="69">SUM(D236,D238)</f>
        <v>#REF!</v>
      </c>
      <c r="E235" s="99" t="e">
        <f t="shared" ref="E235:H235" si="70">SUM(E236,E238)</f>
        <v>#REF!</v>
      </c>
      <c r="F235" s="99">
        <f t="shared" si="70"/>
        <v>1300</v>
      </c>
      <c r="G235" s="99">
        <f t="shared" si="70"/>
        <v>1300</v>
      </c>
      <c r="H235" s="99">
        <f t="shared" si="70"/>
        <v>1300</v>
      </c>
    </row>
    <row r="236" spans="1:8" hidden="1" x14ac:dyDescent="0.25">
      <c r="A236" s="38"/>
      <c r="B236" s="83">
        <v>411</v>
      </c>
      <c r="C236" s="83" t="s">
        <v>178</v>
      </c>
      <c r="D236" s="84">
        <f t="shared" ref="D236:H236" si="71">SUM(D237)</f>
        <v>0</v>
      </c>
      <c r="E236" s="84">
        <f t="shared" si="71"/>
        <v>0</v>
      </c>
      <c r="F236" s="84">
        <f t="shared" si="71"/>
        <v>0</v>
      </c>
      <c r="G236" s="84">
        <f t="shared" si="71"/>
        <v>0</v>
      </c>
      <c r="H236" s="84">
        <f t="shared" si="71"/>
        <v>0</v>
      </c>
    </row>
    <row r="237" spans="1:8" hidden="1" x14ac:dyDescent="0.25">
      <c r="A237" s="38"/>
      <c r="B237" s="82">
        <v>41112</v>
      </c>
      <c r="C237" s="82" t="s">
        <v>180</v>
      </c>
      <c r="D237" s="80"/>
      <c r="E237" s="80"/>
      <c r="F237" s="80"/>
      <c r="G237" s="80"/>
      <c r="H237" s="80"/>
    </row>
    <row r="238" spans="1:8" x14ac:dyDescent="0.25">
      <c r="A238" s="38"/>
      <c r="B238" s="83">
        <v>412</v>
      </c>
      <c r="C238" s="83" t="s">
        <v>181</v>
      </c>
      <c r="D238" s="84" t="e">
        <f t="shared" ref="D238:H238" si="72">SUM(D239)</f>
        <v>#REF!</v>
      </c>
      <c r="E238" s="84" t="e">
        <f t="shared" si="72"/>
        <v>#REF!</v>
      </c>
      <c r="F238" s="84">
        <f t="shared" si="72"/>
        <v>1300</v>
      </c>
      <c r="G238" s="84">
        <f t="shared" si="72"/>
        <v>1300</v>
      </c>
      <c r="H238" s="84">
        <f t="shared" si="72"/>
        <v>1300</v>
      </c>
    </row>
    <row r="239" spans="1:8" x14ac:dyDescent="0.25">
      <c r="A239" s="38"/>
      <c r="B239" s="83">
        <v>4123</v>
      </c>
      <c r="C239" s="83" t="s">
        <v>181</v>
      </c>
      <c r="D239" s="84" t="e">
        <f>D240</f>
        <v>#REF!</v>
      </c>
      <c r="E239" s="84" t="e">
        <f t="shared" ref="E239:H239" si="73">E240</f>
        <v>#REF!</v>
      </c>
      <c r="F239" s="84">
        <f t="shared" si="73"/>
        <v>1300</v>
      </c>
      <c r="G239" s="84">
        <f t="shared" si="73"/>
        <v>1300</v>
      </c>
      <c r="H239" s="84">
        <f t="shared" si="73"/>
        <v>1300</v>
      </c>
    </row>
    <row r="240" spans="1:8" x14ac:dyDescent="0.25">
      <c r="A240" s="54"/>
      <c r="B240" s="82">
        <v>41231</v>
      </c>
      <c r="C240" s="82" t="s">
        <v>182</v>
      </c>
      <c r="D240" s="80" t="e">
        <f>' PRIHODI I RASHODI-izvori'!E73</f>
        <v>#REF!</v>
      </c>
      <c r="E240" s="80" t="e">
        <f>' PRIHODI I RASHODI-izvori'!F73</f>
        <v>#REF!</v>
      </c>
      <c r="F240" s="80">
        <f>' PRIHODI I RASHODI-izvori'!G73</f>
        <v>1300</v>
      </c>
      <c r="G240" s="80">
        <f>' PRIHODI I RASHODI-izvori'!H73</f>
        <v>1300</v>
      </c>
      <c r="H240" s="80">
        <f>' PRIHODI I RASHODI-izvori'!I73</f>
        <v>1300</v>
      </c>
    </row>
    <row r="241" spans="1:8" x14ac:dyDescent="0.25">
      <c r="A241" s="38"/>
      <c r="B241" s="98">
        <v>42</v>
      </c>
      <c r="C241" s="98" t="s">
        <v>310</v>
      </c>
      <c r="D241" s="99" t="e">
        <f>D242+D245+D262+D265</f>
        <v>#REF!</v>
      </c>
      <c r="E241" s="99" t="e">
        <f>E242+E245+E262+E265</f>
        <v>#REF!</v>
      </c>
      <c r="F241" s="99">
        <f>F242+F245+F262+F265</f>
        <v>667575.27</v>
      </c>
      <c r="G241" s="99">
        <f>G242+G245+G262+G265</f>
        <v>670525.27</v>
      </c>
      <c r="H241" s="99">
        <f>H242+H245+H262+H265</f>
        <v>673475.27</v>
      </c>
    </row>
    <row r="242" spans="1:8" x14ac:dyDescent="0.25">
      <c r="A242" s="38"/>
      <c r="B242" s="83">
        <v>421</v>
      </c>
      <c r="C242" s="83" t="s">
        <v>207</v>
      </c>
      <c r="D242" s="84">
        <f>SUM(D243)</f>
        <v>0</v>
      </c>
      <c r="E242" s="84">
        <f>SUM(E243)</f>
        <v>0</v>
      </c>
      <c r="F242" s="84">
        <f>F243</f>
        <v>3062.5</v>
      </c>
      <c r="G242" s="84">
        <f t="shared" ref="G242:H242" si="74">G243</f>
        <v>3062.5</v>
      </c>
      <c r="H242" s="84">
        <f t="shared" si="74"/>
        <v>3062.5</v>
      </c>
    </row>
    <row r="243" spans="1:8" x14ac:dyDescent="0.25">
      <c r="A243" s="38"/>
      <c r="B243" s="83">
        <v>4212</v>
      </c>
      <c r="C243" s="83" t="s">
        <v>209</v>
      </c>
      <c r="D243" s="84"/>
      <c r="E243" s="84"/>
      <c r="F243" s="84">
        <f>F244</f>
        <v>3062.5</v>
      </c>
      <c r="G243" s="84">
        <f t="shared" ref="G243:H243" si="75">G244</f>
        <v>3062.5</v>
      </c>
      <c r="H243" s="84">
        <f t="shared" si="75"/>
        <v>3062.5</v>
      </c>
    </row>
    <row r="244" spans="1:8" ht="31.5" x14ac:dyDescent="0.25">
      <c r="A244" s="38"/>
      <c r="B244" s="82">
        <v>42122</v>
      </c>
      <c r="C244" s="85" t="s">
        <v>675</v>
      </c>
      <c r="D244" s="84"/>
      <c r="E244" s="84"/>
      <c r="F244" s="80">
        <f>' PRIHODI I RASHODI-izvori'!G77</f>
        <v>3062.5</v>
      </c>
      <c r="G244" s="80">
        <f>' PRIHODI I RASHODI-izvori'!H77</f>
        <v>3062.5</v>
      </c>
      <c r="H244" s="80">
        <f>' PRIHODI I RASHODI-izvori'!I77</f>
        <v>3062.5</v>
      </c>
    </row>
    <row r="245" spans="1:8" x14ac:dyDescent="0.25">
      <c r="A245" s="38"/>
      <c r="B245" s="83">
        <v>422</v>
      </c>
      <c r="C245" s="83" t="s">
        <v>184</v>
      </c>
      <c r="D245" s="84" t="e">
        <f>D246+D250+D252+D255+D258+D260</f>
        <v>#REF!</v>
      </c>
      <c r="E245" s="84" t="e">
        <f t="shared" ref="E245:H245" si="76">E246+E250+E252+E255+E258+E260</f>
        <v>#REF!</v>
      </c>
      <c r="F245" s="84">
        <f t="shared" si="76"/>
        <v>547790.49</v>
      </c>
      <c r="G245" s="84">
        <f t="shared" si="76"/>
        <v>550740.49</v>
      </c>
      <c r="H245" s="84">
        <f t="shared" si="76"/>
        <v>553690.49</v>
      </c>
    </row>
    <row r="246" spans="1:8" x14ac:dyDescent="0.25">
      <c r="A246" s="38"/>
      <c r="B246" s="83">
        <v>4221</v>
      </c>
      <c r="C246" s="83" t="s">
        <v>186</v>
      </c>
      <c r="D246" s="84" t="e">
        <f t="shared" ref="D246" si="77">SUM(D247:D249)</f>
        <v>#REF!</v>
      </c>
      <c r="E246" s="84" t="e">
        <f t="shared" ref="E246:H246" si="78">SUM(E247:E249)</f>
        <v>#REF!</v>
      </c>
      <c r="F246" s="84">
        <f t="shared" si="78"/>
        <v>82451.66</v>
      </c>
      <c r="G246" s="84">
        <f t="shared" si="78"/>
        <v>82451.66</v>
      </c>
      <c r="H246" s="84">
        <f t="shared" si="78"/>
        <v>82451.66</v>
      </c>
    </row>
    <row r="247" spans="1:8" x14ac:dyDescent="0.25">
      <c r="A247" s="38"/>
      <c r="B247" s="82">
        <v>42211</v>
      </c>
      <c r="C247" s="82" t="s">
        <v>464</v>
      </c>
      <c r="D247" s="80" t="e">
        <f>' PRIHODI I RASHODI-izvori'!E80+' PRIHODI I RASHODI-izvori'!E423</f>
        <v>#REF!</v>
      </c>
      <c r="E247" s="80" t="e">
        <f>' PRIHODI I RASHODI-izvori'!F80+' PRIHODI I RASHODI-izvori'!F423</f>
        <v>#REF!</v>
      </c>
      <c r="F247" s="80">
        <f>' PRIHODI I RASHODI-izvori'!G80+' PRIHODI I RASHODI-izvori'!G423</f>
        <v>44776.66</v>
      </c>
      <c r="G247" s="80">
        <f>' PRIHODI I RASHODI-izvori'!H80+' PRIHODI I RASHODI-izvori'!H423</f>
        <v>44776.66</v>
      </c>
      <c r="H247" s="80">
        <f>' PRIHODI I RASHODI-izvori'!I80+' PRIHODI I RASHODI-izvori'!I423</f>
        <v>44776.66</v>
      </c>
    </row>
    <row r="248" spans="1:8" x14ac:dyDescent="0.25">
      <c r="A248" s="38"/>
      <c r="B248" s="82">
        <v>42212</v>
      </c>
      <c r="C248" s="82" t="s">
        <v>465</v>
      </c>
      <c r="D248" s="80" t="e">
        <f>' PRIHODI I RASHODI-izvori'!E81+' PRIHODI I RASHODI-izvori'!E424+' PRIHODI I RASHODI-izvori'!E227</f>
        <v>#REF!</v>
      </c>
      <c r="E248" s="80" t="e">
        <f>' PRIHODI I RASHODI-izvori'!F81+' PRIHODI I RASHODI-izvori'!F424+' PRIHODI I RASHODI-izvori'!F227</f>
        <v>#REF!</v>
      </c>
      <c r="F248" s="80">
        <f>' PRIHODI I RASHODI-izvori'!G81+' PRIHODI I RASHODI-izvori'!G424+' PRIHODI I RASHODI-izvori'!G227</f>
        <v>36875</v>
      </c>
      <c r="G248" s="80">
        <f>' PRIHODI I RASHODI-izvori'!H81+' PRIHODI I RASHODI-izvori'!H424+' PRIHODI I RASHODI-izvori'!H227</f>
        <v>36875</v>
      </c>
      <c r="H248" s="80">
        <f>' PRIHODI I RASHODI-izvori'!I81+' PRIHODI I RASHODI-izvori'!I424+' PRIHODI I RASHODI-izvori'!I227</f>
        <v>36875</v>
      </c>
    </row>
    <row r="249" spans="1:8" x14ac:dyDescent="0.25">
      <c r="A249" s="38"/>
      <c r="B249" s="82">
        <v>42219</v>
      </c>
      <c r="C249" s="82" t="s">
        <v>466</v>
      </c>
      <c r="D249" s="80">
        <f>' PRIHODI I RASHODI-izvori'!E425</f>
        <v>0</v>
      </c>
      <c r="E249" s="80">
        <f>' PRIHODI I RASHODI-izvori'!F425</f>
        <v>0</v>
      </c>
      <c r="F249" s="80">
        <f>' PRIHODI I RASHODI-izvori'!G425</f>
        <v>800</v>
      </c>
      <c r="G249" s="80">
        <f>' PRIHODI I RASHODI-izvori'!H425</f>
        <v>800</v>
      </c>
      <c r="H249" s="80">
        <f>' PRIHODI I RASHODI-izvori'!I425</f>
        <v>800</v>
      </c>
    </row>
    <row r="250" spans="1:8" x14ac:dyDescent="0.25">
      <c r="A250" s="38"/>
      <c r="B250" s="83">
        <v>4222</v>
      </c>
      <c r="C250" s="83" t="s">
        <v>188</v>
      </c>
      <c r="D250" s="84" t="e">
        <f>D251</f>
        <v>#REF!</v>
      </c>
      <c r="E250" s="84" t="e">
        <f t="shared" ref="E250:H250" si="79">E251</f>
        <v>#REF!</v>
      </c>
      <c r="F250" s="84">
        <f t="shared" si="79"/>
        <v>61.19</v>
      </c>
      <c r="G250" s="84">
        <f t="shared" si="79"/>
        <v>61.19</v>
      </c>
      <c r="H250" s="84">
        <f t="shared" si="79"/>
        <v>61.19</v>
      </c>
    </row>
    <row r="251" spans="1:8" x14ac:dyDescent="0.25">
      <c r="A251" s="54"/>
      <c r="B251" s="82">
        <v>42222</v>
      </c>
      <c r="C251" s="82" t="s">
        <v>646</v>
      </c>
      <c r="D251" s="80" t="e">
        <f>' PRIHODI I RASHODI-izvori'!E83</f>
        <v>#REF!</v>
      </c>
      <c r="E251" s="80" t="e">
        <f>' PRIHODI I RASHODI-izvori'!F83</f>
        <v>#REF!</v>
      </c>
      <c r="F251" s="80">
        <f>' PRIHODI I RASHODI-izvori'!G83</f>
        <v>61.19</v>
      </c>
      <c r="G251" s="80">
        <f>' PRIHODI I RASHODI-izvori'!H83</f>
        <v>61.19</v>
      </c>
      <c r="H251" s="80">
        <f>' PRIHODI I RASHODI-izvori'!I83</f>
        <v>61.19</v>
      </c>
    </row>
    <row r="252" spans="1:8" x14ac:dyDescent="0.25">
      <c r="A252" s="38"/>
      <c r="B252" s="83">
        <v>4223</v>
      </c>
      <c r="C252" s="83" t="s">
        <v>311</v>
      </c>
      <c r="D252" s="84" t="e">
        <f t="shared" ref="D252" si="80">SUM(D253:D254)</f>
        <v>#REF!</v>
      </c>
      <c r="E252" s="84" t="e">
        <f t="shared" ref="E252:H252" si="81">SUM(E253:E254)</f>
        <v>#REF!</v>
      </c>
      <c r="F252" s="84">
        <f t="shared" si="81"/>
        <v>16541.75</v>
      </c>
      <c r="G252" s="84">
        <f t="shared" si="81"/>
        <v>17041.75</v>
      </c>
      <c r="H252" s="84">
        <f t="shared" si="81"/>
        <v>17541.75</v>
      </c>
    </row>
    <row r="253" spans="1:8" x14ac:dyDescent="0.25">
      <c r="A253" s="38"/>
      <c r="B253" s="82">
        <v>42231</v>
      </c>
      <c r="C253" s="82" t="s">
        <v>468</v>
      </c>
      <c r="D253" s="80" t="e">
        <f>' PRIHODI I RASHODI-izvori'!E85+' PRIHODI I RASHODI-izvori'!E428+' PRIHODI I RASHODI-izvori'!E230</f>
        <v>#REF!</v>
      </c>
      <c r="E253" s="80" t="e">
        <f>' PRIHODI I RASHODI-izvori'!F85+' PRIHODI I RASHODI-izvori'!F428+' PRIHODI I RASHODI-izvori'!F230</f>
        <v>#REF!</v>
      </c>
      <c r="F253" s="80">
        <f>' PRIHODI I RASHODI-izvori'!G428</f>
        <v>7000</v>
      </c>
      <c r="G253" s="80">
        <f>' PRIHODI I RASHODI-izvori'!H428</f>
        <v>7500</v>
      </c>
      <c r="H253" s="80">
        <f>' PRIHODI I RASHODI-izvori'!I428</f>
        <v>8000</v>
      </c>
    </row>
    <row r="254" spans="1:8" x14ac:dyDescent="0.25">
      <c r="A254" s="38"/>
      <c r="B254" s="82">
        <v>42232</v>
      </c>
      <c r="C254" s="82" t="s">
        <v>467</v>
      </c>
      <c r="D254" s="80">
        <f>' PRIHODI I RASHODI-izvori'!E429</f>
        <v>0</v>
      </c>
      <c r="E254" s="80">
        <f>' PRIHODI I RASHODI-izvori'!F429</f>
        <v>0</v>
      </c>
      <c r="F254" s="80">
        <f>' PRIHODI I RASHODI-izvori'!G85+' PRIHODI I RASHODI-izvori'!G429</f>
        <v>9541.75</v>
      </c>
      <c r="G254" s="80">
        <f>' PRIHODI I RASHODI-izvori'!H85+' PRIHODI I RASHODI-izvori'!H429</f>
        <v>9541.75</v>
      </c>
      <c r="H254" s="80">
        <f>' PRIHODI I RASHODI-izvori'!I85+' PRIHODI I RASHODI-izvori'!I429</f>
        <v>9541.75</v>
      </c>
    </row>
    <row r="255" spans="1:8" x14ac:dyDescent="0.25">
      <c r="A255" s="38"/>
      <c r="B255" s="83">
        <v>4224</v>
      </c>
      <c r="C255" s="83" t="s">
        <v>190</v>
      </c>
      <c r="D255" s="84" t="e">
        <f t="shared" ref="D255" si="82">SUM(D256:D257)</f>
        <v>#REF!</v>
      </c>
      <c r="E255" s="84" t="e">
        <f t="shared" ref="E255:H255" si="83">SUM(E256:E257)</f>
        <v>#REF!</v>
      </c>
      <c r="F255" s="84">
        <f t="shared" si="83"/>
        <v>422767.39</v>
      </c>
      <c r="G255" s="84">
        <f t="shared" si="83"/>
        <v>424867.39</v>
      </c>
      <c r="H255" s="84">
        <f t="shared" si="83"/>
        <v>426967.39</v>
      </c>
    </row>
    <row r="256" spans="1:8" x14ac:dyDescent="0.25">
      <c r="A256" s="38"/>
      <c r="B256" s="82">
        <v>42241</v>
      </c>
      <c r="C256" s="82" t="s">
        <v>469</v>
      </c>
      <c r="D256" s="80" t="e">
        <f>' PRIHODI I RASHODI-izvori'!E87+' PRIHODI I RASHODI-izvori'!E431+' PRIHODI I RASHODI-izvori'!E597+' PRIHODI I RASHODI-izvori'!E490</f>
        <v>#REF!</v>
      </c>
      <c r="E256" s="80" t="e">
        <f>' PRIHODI I RASHODI-izvori'!F87+' PRIHODI I RASHODI-izvori'!F431+' PRIHODI I RASHODI-izvori'!F597+' PRIHODI I RASHODI-izvori'!F490</f>
        <v>#REF!</v>
      </c>
      <c r="F256" s="80">
        <f>' PRIHODI I RASHODI-izvori'!G87+' PRIHODI I RASHODI-izvori'!G431</f>
        <v>421267.39</v>
      </c>
      <c r="G256" s="80">
        <f>' PRIHODI I RASHODI-izvori'!H87+' PRIHODI I RASHODI-izvori'!H431</f>
        <v>423267.39</v>
      </c>
      <c r="H256" s="80">
        <f>' PRIHODI I RASHODI-izvori'!I87+' PRIHODI I RASHODI-izvori'!I431</f>
        <v>425267.39</v>
      </c>
    </row>
    <row r="257" spans="1:8" x14ac:dyDescent="0.25">
      <c r="A257" s="38"/>
      <c r="B257" s="82">
        <v>42242</v>
      </c>
      <c r="C257" s="82" t="s">
        <v>470</v>
      </c>
      <c r="D257" s="80">
        <f>' PRIHODI I RASHODI-izvori'!E432</f>
        <v>0</v>
      </c>
      <c r="E257" s="80">
        <f>' PRIHODI I RASHODI-izvori'!F432</f>
        <v>0</v>
      </c>
      <c r="F257" s="80">
        <f>' PRIHODI I RASHODI-izvori'!G432</f>
        <v>1500</v>
      </c>
      <c r="G257" s="80">
        <f>' PRIHODI I RASHODI-izvori'!H432</f>
        <v>1600</v>
      </c>
      <c r="H257" s="80">
        <f>' PRIHODI I RASHODI-izvori'!I432</f>
        <v>1700</v>
      </c>
    </row>
    <row r="258" spans="1:8" x14ac:dyDescent="0.25">
      <c r="A258" s="38"/>
      <c r="B258" s="83">
        <v>4225</v>
      </c>
      <c r="C258" s="83" t="s">
        <v>191</v>
      </c>
      <c r="D258" s="84" t="e">
        <f t="shared" ref="D258:H258" si="84">SUM(D259)</f>
        <v>#REF!</v>
      </c>
      <c r="E258" s="84" t="e">
        <f t="shared" si="84"/>
        <v>#REF!</v>
      </c>
      <c r="F258" s="84">
        <f t="shared" si="84"/>
        <v>20000</v>
      </c>
      <c r="G258" s="84">
        <f t="shared" si="84"/>
        <v>20150</v>
      </c>
      <c r="H258" s="84">
        <f t="shared" si="84"/>
        <v>20300</v>
      </c>
    </row>
    <row r="259" spans="1:8" x14ac:dyDescent="0.25">
      <c r="A259" s="38"/>
      <c r="B259" s="82">
        <v>42251</v>
      </c>
      <c r="C259" s="82" t="s">
        <v>676</v>
      </c>
      <c r="D259" s="80" t="e">
        <f>' PRIHODI I RASHODI-izvori'!E89+' PRIHODI I RASHODI-izvori'!E434</f>
        <v>#REF!</v>
      </c>
      <c r="E259" s="80" t="e">
        <f>' PRIHODI I RASHODI-izvori'!F89+' PRIHODI I RASHODI-izvori'!F434</f>
        <v>#REF!</v>
      </c>
      <c r="F259" s="80">
        <f>' PRIHODI I RASHODI-izvori'!G89+' PRIHODI I RASHODI-izvori'!G434</f>
        <v>20000</v>
      </c>
      <c r="G259" s="80">
        <f>' PRIHODI I RASHODI-izvori'!H89+' PRIHODI I RASHODI-izvori'!H434</f>
        <v>20150</v>
      </c>
      <c r="H259" s="80">
        <f>' PRIHODI I RASHODI-izvori'!I89+' PRIHODI I RASHODI-izvori'!I434</f>
        <v>20300</v>
      </c>
    </row>
    <row r="260" spans="1:8" x14ac:dyDescent="0.25">
      <c r="A260" s="38"/>
      <c r="B260" s="83">
        <v>4227</v>
      </c>
      <c r="C260" s="83" t="s">
        <v>192</v>
      </c>
      <c r="D260" s="84">
        <f t="shared" ref="D260:H260" si="85">D261</f>
        <v>0</v>
      </c>
      <c r="E260" s="84">
        <f t="shared" si="85"/>
        <v>0</v>
      </c>
      <c r="F260" s="84">
        <f t="shared" si="85"/>
        <v>5968.5</v>
      </c>
      <c r="G260" s="84">
        <f t="shared" si="85"/>
        <v>6168.5</v>
      </c>
      <c r="H260" s="84">
        <f t="shared" si="85"/>
        <v>6368.5</v>
      </c>
    </row>
    <row r="261" spans="1:8" x14ac:dyDescent="0.25">
      <c r="A261" s="38"/>
      <c r="B261" s="82">
        <v>42271</v>
      </c>
      <c r="C261" s="82" t="s">
        <v>719</v>
      </c>
      <c r="D261" s="80">
        <f>' PRIHODI I RASHODI-izvori'!E436+' PRIHODI I RASHODI-izvori'!E234</f>
        <v>0</v>
      </c>
      <c r="E261" s="80">
        <f>' PRIHODI I RASHODI-izvori'!F436+' PRIHODI I RASHODI-izvori'!F234</f>
        <v>0</v>
      </c>
      <c r="F261" s="80">
        <f>' PRIHODI I RASHODI-izvori'!G91+' PRIHODI I RASHODI-izvori'!G436</f>
        <v>5968.5</v>
      </c>
      <c r="G261" s="80">
        <f>' PRIHODI I RASHODI-izvori'!H91+' PRIHODI I RASHODI-izvori'!H436</f>
        <v>6168.5</v>
      </c>
      <c r="H261" s="80">
        <f>' PRIHODI I RASHODI-izvori'!I91+' PRIHODI I RASHODI-izvori'!I436</f>
        <v>6368.5</v>
      </c>
    </row>
    <row r="262" spans="1:8" x14ac:dyDescent="0.25">
      <c r="A262" s="38"/>
      <c r="B262" s="83">
        <v>423</v>
      </c>
      <c r="C262" s="83" t="s">
        <v>193</v>
      </c>
      <c r="D262" s="84" t="e">
        <f t="shared" ref="D262:H262" si="86">D263</f>
        <v>#REF!</v>
      </c>
      <c r="E262" s="84" t="e">
        <f t="shared" si="86"/>
        <v>#REF!</v>
      </c>
      <c r="F262" s="84">
        <f t="shared" si="86"/>
        <v>114722.28</v>
      </c>
      <c r="G262" s="84">
        <f t="shared" si="86"/>
        <v>114722.28</v>
      </c>
      <c r="H262" s="84">
        <f t="shared" si="86"/>
        <v>114722.28</v>
      </c>
    </row>
    <row r="263" spans="1:8" x14ac:dyDescent="0.25">
      <c r="A263" s="38"/>
      <c r="B263" s="83">
        <v>4231</v>
      </c>
      <c r="C263" s="83" t="s">
        <v>193</v>
      </c>
      <c r="D263" s="84" t="e">
        <f t="shared" ref="D263:H263" si="87">SUM(D264)</f>
        <v>#REF!</v>
      </c>
      <c r="E263" s="84" t="e">
        <f t="shared" si="87"/>
        <v>#REF!</v>
      </c>
      <c r="F263" s="84">
        <f t="shared" si="87"/>
        <v>114722.28</v>
      </c>
      <c r="G263" s="84">
        <f t="shared" si="87"/>
        <v>114722.28</v>
      </c>
      <c r="H263" s="84">
        <f t="shared" si="87"/>
        <v>114722.28</v>
      </c>
    </row>
    <row r="264" spans="1:8" x14ac:dyDescent="0.25">
      <c r="A264" s="38"/>
      <c r="B264" s="82">
        <v>42311</v>
      </c>
      <c r="C264" s="82" t="s">
        <v>471</v>
      </c>
      <c r="D264" s="80" t="e">
        <f>' PRIHODI I RASHODI-izvori'!E439+' PRIHODI I RASHODI-izvori'!E94</f>
        <v>#REF!</v>
      </c>
      <c r="E264" s="80" t="e">
        <f>' PRIHODI I RASHODI-izvori'!F439+' PRIHODI I RASHODI-izvori'!F94</f>
        <v>#REF!</v>
      </c>
      <c r="F264" s="80">
        <f>' PRIHODI I RASHODI-izvori'!G94+' PRIHODI I RASHODI-izvori'!G439</f>
        <v>114722.28</v>
      </c>
      <c r="G264" s="80">
        <f>' PRIHODI I RASHODI-izvori'!H94+' PRIHODI I RASHODI-izvori'!H439</f>
        <v>114722.28</v>
      </c>
      <c r="H264" s="80">
        <f>' PRIHODI I RASHODI-izvori'!I94+' PRIHODI I RASHODI-izvori'!I439</f>
        <v>114722.28</v>
      </c>
    </row>
    <row r="265" spans="1:8" s="89" customFormat="1" x14ac:dyDescent="0.25">
      <c r="A265" s="38"/>
      <c r="B265" s="83">
        <v>426</v>
      </c>
      <c r="C265" s="83" t="s">
        <v>312</v>
      </c>
      <c r="D265" s="84" t="e">
        <f t="shared" ref="D265:H266" si="88">D266</f>
        <v>#REF!</v>
      </c>
      <c r="E265" s="84" t="e">
        <f t="shared" si="88"/>
        <v>#REF!</v>
      </c>
      <c r="F265" s="84">
        <f t="shared" si="88"/>
        <v>2000</v>
      </c>
      <c r="G265" s="84">
        <f t="shared" si="88"/>
        <v>2000</v>
      </c>
      <c r="H265" s="84">
        <f t="shared" si="88"/>
        <v>2000</v>
      </c>
    </row>
    <row r="266" spans="1:8" x14ac:dyDescent="0.25">
      <c r="A266" s="38"/>
      <c r="B266" s="83">
        <v>4262</v>
      </c>
      <c r="C266" s="83" t="s">
        <v>195</v>
      </c>
      <c r="D266" s="84" t="e">
        <f>D267</f>
        <v>#REF!</v>
      </c>
      <c r="E266" s="84" t="e">
        <f t="shared" si="88"/>
        <v>#REF!</v>
      </c>
      <c r="F266" s="84">
        <f t="shared" si="88"/>
        <v>2000</v>
      </c>
      <c r="G266" s="84">
        <f t="shared" si="88"/>
        <v>2000</v>
      </c>
      <c r="H266" s="84">
        <f t="shared" si="88"/>
        <v>2000</v>
      </c>
    </row>
    <row r="267" spans="1:8" x14ac:dyDescent="0.25">
      <c r="A267" s="54"/>
      <c r="B267" s="82">
        <v>42621</v>
      </c>
      <c r="C267" s="82" t="s">
        <v>195</v>
      </c>
      <c r="D267" s="80" t="e">
        <f>' PRIHODI I RASHODI-izvori'!E97</f>
        <v>#REF!</v>
      </c>
      <c r="E267" s="80" t="e">
        <f>' PRIHODI I RASHODI-izvori'!F97</f>
        <v>#REF!</v>
      </c>
      <c r="F267" s="80">
        <f>' PRIHODI I RASHODI-izvori'!G97</f>
        <v>2000</v>
      </c>
      <c r="G267" s="80">
        <f>' PRIHODI I RASHODI-izvori'!H97</f>
        <v>2000</v>
      </c>
      <c r="H267" s="80">
        <f>' PRIHODI I RASHODI-izvori'!I97</f>
        <v>2000</v>
      </c>
    </row>
    <row r="268" spans="1:8" x14ac:dyDescent="0.25">
      <c r="A268" s="38"/>
      <c r="B268" s="98">
        <v>45</v>
      </c>
      <c r="C268" s="98" t="s">
        <v>199</v>
      </c>
      <c r="D268" s="99" t="e">
        <f t="shared" ref="D268" si="89">SUM(D269,D272)</f>
        <v>#REF!</v>
      </c>
      <c r="E268" s="99" t="e">
        <f t="shared" ref="E268:H268" si="90">SUM(E269,E272)</f>
        <v>#REF!</v>
      </c>
      <c r="F268" s="99">
        <f t="shared" si="90"/>
        <v>186000</v>
      </c>
      <c r="G268" s="99">
        <f t="shared" si="90"/>
        <v>186000</v>
      </c>
      <c r="H268" s="99">
        <f t="shared" si="90"/>
        <v>186000</v>
      </c>
    </row>
    <row r="269" spans="1:8" x14ac:dyDescent="0.25">
      <c r="A269" s="38"/>
      <c r="B269" s="83">
        <v>451</v>
      </c>
      <c r="C269" s="83" t="s">
        <v>207</v>
      </c>
      <c r="D269" s="84" t="e">
        <f t="shared" ref="D269:H270" si="91">SUM(D270)</f>
        <v>#REF!</v>
      </c>
      <c r="E269" s="84" t="e">
        <f t="shared" si="91"/>
        <v>#REF!</v>
      </c>
      <c r="F269" s="84">
        <f t="shared" si="91"/>
        <v>186000</v>
      </c>
      <c r="G269" s="84">
        <f t="shared" si="91"/>
        <v>186000</v>
      </c>
      <c r="H269" s="84">
        <f t="shared" si="91"/>
        <v>186000</v>
      </c>
    </row>
    <row r="270" spans="1:8" x14ac:dyDescent="0.25">
      <c r="A270" s="38"/>
      <c r="B270" s="83">
        <v>4511</v>
      </c>
      <c r="C270" s="83" t="s">
        <v>199</v>
      </c>
      <c r="D270" s="84" t="e">
        <f t="shared" si="91"/>
        <v>#REF!</v>
      </c>
      <c r="E270" s="84" t="e">
        <f t="shared" si="91"/>
        <v>#REF!</v>
      </c>
      <c r="F270" s="84">
        <f t="shared" si="91"/>
        <v>186000</v>
      </c>
      <c r="G270" s="84">
        <f t="shared" si="91"/>
        <v>186000</v>
      </c>
      <c r="H270" s="84">
        <f t="shared" si="91"/>
        <v>186000</v>
      </c>
    </row>
    <row r="271" spans="1:8" x14ac:dyDescent="0.25">
      <c r="A271" s="38"/>
      <c r="B271" s="82">
        <v>45111</v>
      </c>
      <c r="C271" s="82" t="s">
        <v>199</v>
      </c>
      <c r="D271" s="80" t="e">
        <f>' PRIHODI I RASHODI-izvori'!E101+' PRIHODI I RASHODI-izvori'!E445+' PRIHODI I RASHODI-izvori'!E576</f>
        <v>#REF!</v>
      </c>
      <c r="E271" s="80" t="e">
        <f>' PRIHODI I RASHODI-izvori'!F101+' PRIHODI I RASHODI-izvori'!F445+' PRIHODI I RASHODI-izvori'!F576</f>
        <v>#REF!</v>
      </c>
      <c r="F271" s="80">
        <f>' PRIHODI I RASHODI-izvori'!G101+' PRIHODI I RASHODI-izvori'!G445</f>
        <v>186000</v>
      </c>
      <c r="G271" s="80">
        <f>' PRIHODI I RASHODI-izvori'!H101+' PRIHODI I RASHODI-izvori'!H445</f>
        <v>186000</v>
      </c>
      <c r="H271" s="80">
        <f>' PRIHODI I RASHODI-izvori'!I101+' PRIHODI I RASHODI-izvori'!I445</f>
        <v>186000</v>
      </c>
    </row>
    <row r="272" spans="1:8" s="89" customFormat="1" hidden="1" x14ac:dyDescent="0.25">
      <c r="A272" s="102"/>
      <c r="B272" s="83">
        <v>452</v>
      </c>
      <c r="C272" s="83" t="s">
        <v>202</v>
      </c>
      <c r="D272" s="84">
        <f t="shared" ref="D272:H272" si="92">D273</f>
        <v>0</v>
      </c>
      <c r="E272" s="84">
        <f t="shared" si="92"/>
        <v>0</v>
      </c>
      <c r="F272" s="84">
        <f t="shared" si="92"/>
        <v>0</v>
      </c>
      <c r="G272" s="84">
        <f t="shared" si="92"/>
        <v>0</v>
      </c>
      <c r="H272" s="84">
        <f t="shared" si="92"/>
        <v>0</v>
      </c>
    </row>
    <row r="273" spans="1:8" hidden="1" x14ac:dyDescent="0.25">
      <c r="A273" s="102"/>
      <c r="B273" s="83">
        <v>4521</v>
      </c>
      <c r="C273" s="83" t="s">
        <v>202</v>
      </c>
      <c r="D273" s="84"/>
      <c r="E273" s="84"/>
      <c r="F273" s="84"/>
      <c r="G273" s="84"/>
      <c r="H273" s="84"/>
    </row>
    <row r="274" spans="1:8" x14ac:dyDescent="0.25">
      <c r="A274" s="572" t="s">
        <v>313</v>
      </c>
      <c r="B274" s="573"/>
      <c r="C274" s="574"/>
      <c r="D274" s="91" t="e">
        <f>D57+D234</f>
        <v>#REF!</v>
      </c>
      <c r="E274" s="91" t="e">
        <f>E57+E234</f>
        <v>#REF!</v>
      </c>
      <c r="F274" s="91">
        <f>F57+F234</f>
        <v>27155403.23</v>
      </c>
      <c r="G274" s="91">
        <f t="shared" ref="G274:H274" si="93">G57+G234</f>
        <v>27423628.59</v>
      </c>
      <c r="H274" s="91">
        <f t="shared" si="93"/>
        <v>27667151.609999999</v>
      </c>
    </row>
    <row r="278" spans="1:8" x14ac:dyDescent="0.25">
      <c r="F278" s="103"/>
      <c r="G278" s="103"/>
      <c r="H278" s="103"/>
    </row>
    <row r="279" spans="1:8" ht="63" x14ac:dyDescent="0.25">
      <c r="A279" s="29" t="s">
        <v>3</v>
      </c>
      <c r="B279" s="29" t="s">
        <v>4</v>
      </c>
      <c r="C279" s="34" t="s">
        <v>6</v>
      </c>
      <c r="D279" s="29" t="s">
        <v>556</v>
      </c>
      <c r="E279" s="29" t="s">
        <v>560</v>
      </c>
      <c r="F279" s="29" t="s">
        <v>558</v>
      </c>
      <c r="G279" s="30" t="s">
        <v>559</v>
      </c>
      <c r="H279" s="30" t="s">
        <v>557</v>
      </c>
    </row>
    <row r="280" spans="1:8" s="105" customFormat="1" x14ac:dyDescent="0.25">
      <c r="A280" s="38">
        <v>9</v>
      </c>
      <c r="B280" s="82"/>
      <c r="C280" s="83" t="s">
        <v>395</v>
      </c>
      <c r="D280" s="104">
        <f t="shared" ref="D280:E281" si="94">D281</f>
        <v>0</v>
      </c>
      <c r="E280" s="104" t="e">
        <f t="shared" si="94"/>
        <v>#REF!</v>
      </c>
      <c r="F280" s="104">
        <f>F281</f>
        <v>245592.84999999776</v>
      </c>
      <c r="G280" s="104">
        <f t="shared" ref="G280:H281" si="95">G281</f>
        <v>652563.60000000149</v>
      </c>
      <c r="H280" s="104">
        <f t="shared" si="95"/>
        <v>879976.30999999866</v>
      </c>
    </row>
    <row r="281" spans="1:8" s="105" customFormat="1" x14ac:dyDescent="0.25">
      <c r="A281" s="38"/>
      <c r="B281" s="106">
        <v>922</v>
      </c>
      <c r="C281" s="83" t="s">
        <v>396</v>
      </c>
      <c r="D281" s="104">
        <f t="shared" si="94"/>
        <v>0</v>
      </c>
      <c r="E281" s="104" t="e">
        <f t="shared" si="94"/>
        <v>#REF!</v>
      </c>
      <c r="F281" s="104">
        <f>F282</f>
        <v>245592.84999999776</v>
      </c>
      <c r="G281" s="104">
        <f t="shared" si="95"/>
        <v>652563.60000000149</v>
      </c>
      <c r="H281" s="104">
        <f t="shared" si="95"/>
        <v>879976.30999999866</v>
      </c>
    </row>
    <row r="282" spans="1:8" x14ac:dyDescent="0.25">
      <c r="A282" s="38"/>
      <c r="B282" s="107">
        <v>9221</v>
      </c>
      <c r="C282" s="82" t="s">
        <v>397</v>
      </c>
      <c r="D282" s="108">
        <f t="shared" ref="D282:E282" si="96">D284</f>
        <v>0</v>
      </c>
      <c r="E282" s="108" t="e">
        <f t="shared" si="96"/>
        <v>#REF!</v>
      </c>
      <c r="F282" s="108">
        <f>F284</f>
        <v>245592.84999999776</v>
      </c>
      <c r="G282" s="108">
        <f t="shared" ref="G282:H282" si="97">G284</f>
        <v>652563.60000000149</v>
      </c>
      <c r="H282" s="108">
        <f t="shared" si="97"/>
        <v>879976.30999999866</v>
      </c>
    </row>
    <row r="283" spans="1:8" x14ac:dyDescent="0.25">
      <c r="A283" s="38"/>
      <c r="B283" s="82"/>
      <c r="C283" s="82" t="s">
        <v>398</v>
      </c>
      <c r="D283" s="109"/>
      <c r="E283" s="109"/>
      <c r="F283" s="109"/>
      <c r="G283" s="82"/>
      <c r="H283" s="82"/>
    </row>
    <row r="284" spans="1:8" x14ac:dyDescent="0.25">
      <c r="A284" s="38"/>
      <c r="B284" s="82"/>
      <c r="C284" s="82" t="s">
        <v>399</v>
      </c>
      <c r="D284" s="108">
        <f>SAŽETAK!G37</f>
        <v>0</v>
      </c>
      <c r="E284" s="108" t="e">
        <f>SAŽETAK!H37</f>
        <v>#REF!</v>
      </c>
      <c r="F284" s="108">
        <f>SAŽETAK!I38</f>
        <v>245592.84999999776</v>
      </c>
      <c r="G284" s="108">
        <f>SAŽETAK!J38</f>
        <v>652563.60000000149</v>
      </c>
      <c r="H284" s="108">
        <f>SAŽETAK!K38</f>
        <v>879976.30999999866</v>
      </c>
    </row>
  </sheetData>
  <mergeCells count="10">
    <mergeCell ref="A51:C51"/>
    <mergeCell ref="A54:H54"/>
    <mergeCell ref="A56:C56"/>
    <mergeCell ref="A274:C274"/>
    <mergeCell ref="A1:H1"/>
    <mergeCell ref="A2:H3"/>
    <mergeCell ref="A4:H4"/>
    <mergeCell ref="B5:H5"/>
    <mergeCell ref="A7:H7"/>
    <mergeCell ref="A9:C9"/>
  </mergeCells>
  <pageMargins left="0.74803149606299213" right="0.74803149606299213" top="0.98425196850393704" bottom="0.98425196850393704" header="0.51181102362204722" footer="0.51181102362204722"/>
  <pageSetup paperSize="9" scale="6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82"/>
  <sheetViews>
    <sheetView zoomScaleNormal="100" workbookViewId="0">
      <selection activeCell="G97" sqref="G97"/>
    </sheetView>
  </sheetViews>
  <sheetFormatPr defaultRowHeight="15.75" x14ac:dyDescent="0.25"/>
  <cols>
    <col min="1" max="1" width="7.85546875" style="117" customWidth="1"/>
    <col min="2" max="2" width="11.7109375" style="117" customWidth="1"/>
    <col min="3" max="3" width="5.7109375" style="117" customWidth="1"/>
    <col min="4" max="4" width="61" style="117" customWidth="1"/>
    <col min="5" max="5" width="19.140625" style="117" hidden="1" customWidth="1"/>
    <col min="6" max="6" width="2.42578125" style="117" hidden="1" customWidth="1"/>
    <col min="7" max="7" width="18.42578125" style="313" bestFit="1" customWidth="1"/>
    <col min="8" max="8" width="19.140625" style="117" customWidth="1"/>
    <col min="9" max="9" width="18.85546875" style="117" bestFit="1" customWidth="1"/>
    <col min="10" max="243" width="9.140625" style="117"/>
    <col min="244" max="244" width="7" style="117" bestFit="1" customWidth="1"/>
    <col min="245" max="245" width="10" style="117" customWidth="1"/>
    <col min="246" max="246" width="5.28515625" style="117" bestFit="1" customWidth="1"/>
    <col min="247" max="247" width="55" style="117" customWidth="1"/>
    <col min="248" max="248" width="17" style="117" bestFit="1" customWidth="1"/>
    <col min="249" max="249" width="19.140625" style="117" customWidth="1"/>
    <col min="250" max="250" width="19.42578125" style="117" customWidth="1"/>
    <col min="251" max="255" width="15.140625" style="117" customWidth="1"/>
    <col min="256" max="258" width="0" style="117" hidden="1" customWidth="1"/>
    <col min="259" max="260" width="10.7109375" style="117" bestFit="1" customWidth="1"/>
    <col min="261" max="261" width="10.28515625" style="117" bestFit="1" customWidth="1"/>
    <col min="262" max="262" width="11.85546875" style="117" bestFit="1" customWidth="1"/>
    <col min="263" max="263" width="15.42578125" style="117" customWidth="1"/>
    <col min="264" max="499" width="9.140625" style="117"/>
    <col min="500" max="500" width="7" style="117" bestFit="1" customWidth="1"/>
    <col min="501" max="501" width="10" style="117" customWidth="1"/>
    <col min="502" max="502" width="5.28515625" style="117" bestFit="1" customWidth="1"/>
    <col min="503" max="503" width="55" style="117" customWidth="1"/>
    <col min="504" max="504" width="17" style="117" bestFit="1" customWidth="1"/>
    <col min="505" max="505" width="19.140625" style="117" customWidth="1"/>
    <col min="506" max="506" width="19.42578125" style="117" customWidth="1"/>
    <col min="507" max="511" width="15.140625" style="117" customWidth="1"/>
    <col min="512" max="514" width="0" style="117" hidden="1" customWidth="1"/>
    <col min="515" max="516" width="10.7109375" style="117" bestFit="1" customWidth="1"/>
    <col min="517" max="517" width="10.28515625" style="117" bestFit="1" customWidth="1"/>
    <col min="518" max="518" width="11.85546875" style="117" bestFit="1" customWidth="1"/>
    <col min="519" max="519" width="15.42578125" style="117" customWidth="1"/>
    <col min="520" max="755" width="9.140625" style="117"/>
    <col min="756" max="756" width="7" style="117" bestFit="1" customWidth="1"/>
    <col min="757" max="757" width="10" style="117" customWidth="1"/>
    <col min="758" max="758" width="5.28515625" style="117" bestFit="1" customWidth="1"/>
    <col min="759" max="759" width="55" style="117" customWidth="1"/>
    <col min="760" max="760" width="17" style="117" bestFit="1" customWidth="1"/>
    <col min="761" max="761" width="19.140625" style="117" customWidth="1"/>
    <col min="762" max="762" width="19.42578125" style="117" customWidth="1"/>
    <col min="763" max="767" width="15.140625" style="117" customWidth="1"/>
    <col min="768" max="770" width="0" style="117" hidden="1" customWidth="1"/>
    <col min="771" max="772" width="10.7109375" style="117" bestFit="1" customWidth="1"/>
    <col min="773" max="773" width="10.28515625" style="117" bestFit="1" customWidth="1"/>
    <col min="774" max="774" width="11.85546875" style="117" bestFit="1" customWidth="1"/>
    <col min="775" max="775" width="15.42578125" style="117" customWidth="1"/>
    <col min="776" max="1011" width="9.140625" style="117"/>
    <col min="1012" max="1012" width="7" style="117" bestFit="1" customWidth="1"/>
    <col min="1013" max="1013" width="10" style="117" customWidth="1"/>
    <col min="1014" max="1014" width="5.28515625" style="117" bestFit="1" customWidth="1"/>
    <col min="1015" max="1015" width="55" style="117" customWidth="1"/>
    <col min="1016" max="1016" width="17" style="117" bestFit="1" customWidth="1"/>
    <col min="1017" max="1017" width="19.140625" style="117" customWidth="1"/>
    <col min="1018" max="1018" width="19.42578125" style="117" customWidth="1"/>
    <col min="1019" max="1023" width="15.140625" style="117" customWidth="1"/>
    <col min="1024" max="1026" width="0" style="117" hidden="1" customWidth="1"/>
    <col min="1027" max="1028" width="10.7109375" style="117" bestFit="1" customWidth="1"/>
    <col min="1029" max="1029" width="10.28515625" style="117" bestFit="1" customWidth="1"/>
    <col min="1030" max="1030" width="11.85546875" style="117" bestFit="1" customWidth="1"/>
    <col min="1031" max="1031" width="15.42578125" style="117" customWidth="1"/>
    <col min="1032" max="1267" width="9.140625" style="117"/>
    <col min="1268" max="1268" width="7" style="117" bestFit="1" customWidth="1"/>
    <col min="1269" max="1269" width="10" style="117" customWidth="1"/>
    <col min="1270" max="1270" width="5.28515625" style="117" bestFit="1" customWidth="1"/>
    <col min="1271" max="1271" width="55" style="117" customWidth="1"/>
    <col min="1272" max="1272" width="17" style="117" bestFit="1" customWidth="1"/>
    <col min="1273" max="1273" width="19.140625" style="117" customWidth="1"/>
    <col min="1274" max="1274" width="19.42578125" style="117" customWidth="1"/>
    <col min="1275" max="1279" width="15.140625" style="117" customWidth="1"/>
    <col min="1280" max="1282" width="0" style="117" hidden="1" customWidth="1"/>
    <col min="1283" max="1284" width="10.7109375" style="117" bestFit="1" customWidth="1"/>
    <col min="1285" max="1285" width="10.28515625" style="117" bestFit="1" customWidth="1"/>
    <col min="1286" max="1286" width="11.85546875" style="117" bestFit="1" customWidth="1"/>
    <col min="1287" max="1287" width="15.42578125" style="117" customWidth="1"/>
    <col min="1288" max="1523" width="9.140625" style="117"/>
    <col min="1524" max="1524" width="7" style="117" bestFit="1" customWidth="1"/>
    <col min="1525" max="1525" width="10" style="117" customWidth="1"/>
    <col min="1526" max="1526" width="5.28515625" style="117" bestFit="1" customWidth="1"/>
    <col min="1527" max="1527" width="55" style="117" customWidth="1"/>
    <col min="1528" max="1528" width="17" style="117" bestFit="1" customWidth="1"/>
    <col min="1529" max="1529" width="19.140625" style="117" customWidth="1"/>
    <col min="1530" max="1530" width="19.42578125" style="117" customWidth="1"/>
    <col min="1531" max="1535" width="15.140625" style="117" customWidth="1"/>
    <col min="1536" max="1538" width="0" style="117" hidden="1" customWidth="1"/>
    <col min="1539" max="1540" width="10.7109375" style="117" bestFit="1" customWidth="1"/>
    <col min="1541" max="1541" width="10.28515625" style="117" bestFit="1" customWidth="1"/>
    <col min="1542" max="1542" width="11.85546875" style="117" bestFit="1" customWidth="1"/>
    <col min="1543" max="1543" width="15.42578125" style="117" customWidth="1"/>
    <col min="1544" max="1779" width="9.140625" style="117"/>
    <col min="1780" max="1780" width="7" style="117" bestFit="1" customWidth="1"/>
    <col min="1781" max="1781" width="10" style="117" customWidth="1"/>
    <col min="1782" max="1782" width="5.28515625" style="117" bestFit="1" customWidth="1"/>
    <col min="1783" max="1783" width="55" style="117" customWidth="1"/>
    <col min="1784" max="1784" width="17" style="117" bestFit="1" customWidth="1"/>
    <col min="1785" max="1785" width="19.140625" style="117" customWidth="1"/>
    <col min="1786" max="1786" width="19.42578125" style="117" customWidth="1"/>
    <col min="1787" max="1791" width="15.140625" style="117" customWidth="1"/>
    <col min="1792" max="1794" width="0" style="117" hidden="1" customWidth="1"/>
    <col min="1795" max="1796" width="10.7109375" style="117" bestFit="1" customWidth="1"/>
    <col min="1797" max="1797" width="10.28515625" style="117" bestFit="1" customWidth="1"/>
    <col min="1798" max="1798" width="11.85546875" style="117" bestFit="1" customWidth="1"/>
    <col min="1799" max="1799" width="15.42578125" style="117" customWidth="1"/>
    <col min="1800" max="2035" width="9.140625" style="117"/>
    <col min="2036" max="2036" width="7" style="117" bestFit="1" customWidth="1"/>
    <col min="2037" max="2037" width="10" style="117" customWidth="1"/>
    <col min="2038" max="2038" width="5.28515625" style="117" bestFit="1" customWidth="1"/>
    <col min="2039" max="2039" width="55" style="117" customWidth="1"/>
    <col min="2040" max="2040" width="17" style="117" bestFit="1" customWidth="1"/>
    <col min="2041" max="2041" width="19.140625" style="117" customWidth="1"/>
    <col min="2042" max="2042" width="19.42578125" style="117" customWidth="1"/>
    <col min="2043" max="2047" width="15.140625" style="117" customWidth="1"/>
    <col min="2048" max="2050" width="0" style="117" hidden="1" customWidth="1"/>
    <col min="2051" max="2052" width="10.7109375" style="117" bestFit="1" customWidth="1"/>
    <col min="2053" max="2053" width="10.28515625" style="117" bestFit="1" customWidth="1"/>
    <col min="2054" max="2054" width="11.85546875" style="117" bestFit="1" customWidth="1"/>
    <col min="2055" max="2055" width="15.42578125" style="117" customWidth="1"/>
    <col min="2056" max="2291" width="9.140625" style="117"/>
    <col min="2292" max="2292" width="7" style="117" bestFit="1" customWidth="1"/>
    <col min="2293" max="2293" width="10" style="117" customWidth="1"/>
    <col min="2294" max="2294" width="5.28515625" style="117" bestFit="1" customWidth="1"/>
    <col min="2295" max="2295" width="55" style="117" customWidth="1"/>
    <col min="2296" max="2296" width="17" style="117" bestFit="1" customWidth="1"/>
    <col min="2297" max="2297" width="19.140625" style="117" customWidth="1"/>
    <col min="2298" max="2298" width="19.42578125" style="117" customWidth="1"/>
    <col min="2299" max="2303" width="15.140625" style="117" customWidth="1"/>
    <col min="2304" max="2306" width="0" style="117" hidden="1" customWidth="1"/>
    <col min="2307" max="2308" width="10.7109375" style="117" bestFit="1" customWidth="1"/>
    <col min="2309" max="2309" width="10.28515625" style="117" bestFit="1" customWidth="1"/>
    <col min="2310" max="2310" width="11.85546875" style="117" bestFit="1" customWidth="1"/>
    <col min="2311" max="2311" width="15.42578125" style="117" customWidth="1"/>
    <col min="2312" max="2547" width="9.140625" style="117"/>
    <col min="2548" max="2548" width="7" style="117" bestFit="1" customWidth="1"/>
    <col min="2549" max="2549" width="10" style="117" customWidth="1"/>
    <col min="2550" max="2550" width="5.28515625" style="117" bestFit="1" customWidth="1"/>
    <col min="2551" max="2551" width="55" style="117" customWidth="1"/>
    <col min="2552" max="2552" width="17" style="117" bestFit="1" customWidth="1"/>
    <col min="2553" max="2553" width="19.140625" style="117" customWidth="1"/>
    <col min="2554" max="2554" width="19.42578125" style="117" customWidth="1"/>
    <col min="2555" max="2559" width="15.140625" style="117" customWidth="1"/>
    <col min="2560" max="2562" width="0" style="117" hidden="1" customWidth="1"/>
    <col min="2563" max="2564" width="10.7109375" style="117" bestFit="1" customWidth="1"/>
    <col min="2565" max="2565" width="10.28515625" style="117" bestFit="1" customWidth="1"/>
    <col min="2566" max="2566" width="11.85546875" style="117" bestFit="1" customWidth="1"/>
    <col min="2567" max="2567" width="15.42578125" style="117" customWidth="1"/>
    <col min="2568" max="2803" width="9.140625" style="117"/>
    <col min="2804" max="2804" width="7" style="117" bestFit="1" customWidth="1"/>
    <col min="2805" max="2805" width="10" style="117" customWidth="1"/>
    <col min="2806" max="2806" width="5.28515625" style="117" bestFit="1" customWidth="1"/>
    <col min="2807" max="2807" width="55" style="117" customWidth="1"/>
    <col min="2808" max="2808" width="17" style="117" bestFit="1" customWidth="1"/>
    <col min="2809" max="2809" width="19.140625" style="117" customWidth="1"/>
    <col min="2810" max="2810" width="19.42578125" style="117" customWidth="1"/>
    <col min="2811" max="2815" width="15.140625" style="117" customWidth="1"/>
    <col min="2816" max="2818" width="0" style="117" hidden="1" customWidth="1"/>
    <col min="2819" max="2820" width="10.7109375" style="117" bestFit="1" customWidth="1"/>
    <col min="2821" max="2821" width="10.28515625" style="117" bestFit="1" customWidth="1"/>
    <col min="2822" max="2822" width="11.85546875" style="117" bestFit="1" customWidth="1"/>
    <col min="2823" max="2823" width="15.42578125" style="117" customWidth="1"/>
    <col min="2824" max="3059" width="9.140625" style="117"/>
    <col min="3060" max="3060" width="7" style="117" bestFit="1" customWidth="1"/>
    <col min="3061" max="3061" width="10" style="117" customWidth="1"/>
    <col min="3062" max="3062" width="5.28515625" style="117" bestFit="1" customWidth="1"/>
    <col min="3063" max="3063" width="55" style="117" customWidth="1"/>
    <col min="3064" max="3064" width="17" style="117" bestFit="1" customWidth="1"/>
    <col min="3065" max="3065" width="19.140625" style="117" customWidth="1"/>
    <col min="3066" max="3066" width="19.42578125" style="117" customWidth="1"/>
    <col min="3067" max="3071" width="15.140625" style="117" customWidth="1"/>
    <col min="3072" max="3074" width="0" style="117" hidden="1" customWidth="1"/>
    <col min="3075" max="3076" width="10.7109375" style="117" bestFit="1" customWidth="1"/>
    <col min="3077" max="3077" width="10.28515625" style="117" bestFit="1" customWidth="1"/>
    <col min="3078" max="3078" width="11.85546875" style="117" bestFit="1" customWidth="1"/>
    <col min="3079" max="3079" width="15.42578125" style="117" customWidth="1"/>
    <col min="3080" max="3315" width="9.140625" style="117"/>
    <col min="3316" max="3316" width="7" style="117" bestFit="1" customWidth="1"/>
    <col min="3317" max="3317" width="10" style="117" customWidth="1"/>
    <col min="3318" max="3318" width="5.28515625" style="117" bestFit="1" customWidth="1"/>
    <col min="3319" max="3319" width="55" style="117" customWidth="1"/>
    <col min="3320" max="3320" width="17" style="117" bestFit="1" customWidth="1"/>
    <col min="3321" max="3321" width="19.140625" style="117" customWidth="1"/>
    <col min="3322" max="3322" width="19.42578125" style="117" customWidth="1"/>
    <col min="3323" max="3327" width="15.140625" style="117" customWidth="1"/>
    <col min="3328" max="3330" width="0" style="117" hidden="1" customWidth="1"/>
    <col min="3331" max="3332" width="10.7109375" style="117" bestFit="1" customWidth="1"/>
    <col min="3333" max="3333" width="10.28515625" style="117" bestFit="1" customWidth="1"/>
    <col min="3334" max="3334" width="11.85546875" style="117" bestFit="1" customWidth="1"/>
    <col min="3335" max="3335" width="15.42578125" style="117" customWidth="1"/>
    <col min="3336" max="3571" width="9.140625" style="117"/>
    <col min="3572" max="3572" width="7" style="117" bestFit="1" customWidth="1"/>
    <col min="3573" max="3573" width="10" style="117" customWidth="1"/>
    <col min="3574" max="3574" width="5.28515625" style="117" bestFit="1" customWidth="1"/>
    <col min="3575" max="3575" width="55" style="117" customWidth="1"/>
    <col min="3576" max="3576" width="17" style="117" bestFit="1" customWidth="1"/>
    <col min="3577" max="3577" width="19.140625" style="117" customWidth="1"/>
    <col min="3578" max="3578" width="19.42578125" style="117" customWidth="1"/>
    <col min="3579" max="3583" width="15.140625" style="117" customWidth="1"/>
    <col min="3584" max="3586" width="0" style="117" hidden="1" customWidth="1"/>
    <col min="3587" max="3588" width="10.7109375" style="117" bestFit="1" customWidth="1"/>
    <col min="3589" max="3589" width="10.28515625" style="117" bestFit="1" customWidth="1"/>
    <col min="3590" max="3590" width="11.85546875" style="117" bestFit="1" customWidth="1"/>
    <col min="3591" max="3591" width="15.42578125" style="117" customWidth="1"/>
    <col min="3592" max="3827" width="9.140625" style="117"/>
    <col min="3828" max="3828" width="7" style="117" bestFit="1" customWidth="1"/>
    <col min="3829" max="3829" width="10" style="117" customWidth="1"/>
    <col min="3830" max="3830" width="5.28515625" style="117" bestFit="1" customWidth="1"/>
    <col min="3831" max="3831" width="55" style="117" customWidth="1"/>
    <col min="3832" max="3832" width="17" style="117" bestFit="1" customWidth="1"/>
    <col min="3833" max="3833" width="19.140625" style="117" customWidth="1"/>
    <col min="3834" max="3834" width="19.42578125" style="117" customWidth="1"/>
    <col min="3835" max="3839" width="15.140625" style="117" customWidth="1"/>
    <col min="3840" max="3842" width="0" style="117" hidden="1" customWidth="1"/>
    <col min="3843" max="3844" width="10.7109375" style="117" bestFit="1" customWidth="1"/>
    <col min="3845" max="3845" width="10.28515625" style="117" bestFit="1" customWidth="1"/>
    <col min="3846" max="3846" width="11.85546875" style="117" bestFit="1" customWidth="1"/>
    <col min="3847" max="3847" width="15.42578125" style="117" customWidth="1"/>
    <col min="3848" max="4083" width="9.140625" style="117"/>
    <col min="4084" max="4084" width="7" style="117" bestFit="1" customWidth="1"/>
    <col min="4085" max="4085" width="10" style="117" customWidth="1"/>
    <col min="4086" max="4086" width="5.28515625" style="117" bestFit="1" customWidth="1"/>
    <col min="4087" max="4087" width="55" style="117" customWidth="1"/>
    <col min="4088" max="4088" width="17" style="117" bestFit="1" customWidth="1"/>
    <col min="4089" max="4089" width="19.140625" style="117" customWidth="1"/>
    <col min="4090" max="4090" width="19.42578125" style="117" customWidth="1"/>
    <col min="4091" max="4095" width="15.140625" style="117" customWidth="1"/>
    <col min="4096" max="4098" width="0" style="117" hidden="1" customWidth="1"/>
    <col min="4099" max="4100" width="10.7109375" style="117" bestFit="1" customWidth="1"/>
    <col min="4101" max="4101" width="10.28515625" style="117" bestFit="1" customWidth="1"/>
    <col min="4102" max="4102" width="11.85546875" style="117" bestFit="1" customWidth="1"/>
    <col min="4103" max="4103" width="15.42578125" style="117" customWidth="1"/>
    <col min="4104" max="4339" width="9.140625" style="117"/>
    <col min="4340" max="4340" width="7" style="117" bestFit="1" customWidth="1"/>
    <col min="4341" max="4341" width="10" style="117" customWidth="1"/>
    <col min="4342" max="4342" width="5.28515625" style="117" bestFit="1" customWidth="1"/>
    <col min="4343" max="4343" width="55" style="117" customWidth="1"/>
    <col min="4344" max="4344" width="17" style="117" bestFit="1" customWidth="1"/>
    <col min="4345" max="4345" width="19.140625" style="117" customWidth="1"/>
    <col min="4346" max="4346" width="19.42578125" style="117" customWidth="1"/>
    <col min="4347" max="4351" width="15.140625" style="117" customWidth="1"/>
    <col min="4352" max="4354" width="0" style="117" hidden="1" customWidth="1"/>
    <col min="4355" max="4356" width="10.7109375" style="117" bestFit="1" customWidth="1"/>
    <col min="4357" max="4357" width="10.28515625" style="117" bestFit="1" customWidth="1"/>
    <col min="4358" max="4358" width="11.85546875" style="117" bestFit="1" customWidth="1"/>
    <col min="4359" max="4359" width="15.42578125" style="117" customWidth="1"/>
    <col min="4360" max="4595" width="9.140625" style="117"/>
    <col min="4596" max="4596" width="7" style="117" bestFit="1" customWidth="1"/>
    <col min="4597" max="4597" width="10" style="117" customWidth="1"/>
    <col min="4598" max="4598" width="5.28515625" style="117" bestFit="1" customWidth="1"/>
    <col min="4599" max="4599" width="55" style="117" customWidth="1"/>
    <col min="4600" max="4600" width="17" style="117" bestFit="1" customWidth="1"/>
    <col min="4601" max="4601" width="19.140625" style="117" customWidth="1"/>
    <col min="4602" max="4602" width="19.42578125" style="117" customWidth="1"/>
    <col min="4603" max="4607" width="15.140625" style="117" customWidth="1"/>
    <col min="4608" max="4610" width="0" style="117" hidden="1" customWidth="1"/>
    <col min="4611" max="4612" width="10.7109375" style="117" bestFit="1" customWidth="1"/>
    <col min="4613" max="4613" width="10.28515625" style="117" bestFit="1" customWidth="1"/>
    <col min="4614" max="4614" width="11.85546875" style="117" bestFit="1" customWidth="1"/>
    <col min="4615" max="4615" width="15.42578125" style="117" customWidth="1"/>
    <col min="4616" max="4851" width="9.140625" style="117"/>
    <col min="4852" max="4852" width="7" style="117" bestFit="1" customWidth="1"/>
    <col min="4853" max="4853" width="10" style="117" customWidth="1"/>
    <col min="4854" max="4854" width="5.28515625" style="117" bestFit="1" customWidth="1"/>
    <col min="4855" max="4855" width="55" style="117" customWidth="1"/>
    <col min="4856" max="4856" width="17" style="117" bestFit="1" customWidth="1"/>
    <col min="4857" max="4857" width="19.140625" style="117" customWidth="1"/>
    <col min="4858" max="4858" width="19.42578125" style="117" customWidth="1"/>
    <col min="4859" max="4863" width="15.140625" style="117" customWidth="1"/>
    <col min="4864" max="4866" width="0" style="117" hidden="1" customWidth="1"/>
    <col min="4867" max="4868" width="10.7109375" style="117" bestFit="1" customWidth="1"/>
    <col min="4869" max="4869" width="10.28515625" style="117" bestFit="1" customWidth="1"/>
    <col min="4870" max="4870" width="11.85546875" style="117" bestFit="1" customWidth="1"/>
    <col min="4871" max="4871" width="15.42578125" style="117" customWidth="1"/>
    <col min="4872" max="5107" width="9.140625" style="117"/>
    <col min="5108" max="5108" width="7" style="117" bestFit="1" customWidth="1"/>
    <col min="5109" max="5109" width="10" style="117" customWidth="1"/>
    <col min="5110" max="5110" width="5.28515625" style="117" bestFit="1" customWidth="1"/>
    <col min="5111" max="5111" width="55" style="117" customWidth="1"/>
    <col min="5112" max="5112" width="17" style="117" bestFit="1" customWidth="1"/>
    <col min="5113" max="5113" width="19.140625" style="117" customWidth="1"/>
    <col min="5114" max="5114" width="19.42578125" style="117" customWidth="1"/>
    <col min="5115" max="5119" width="15.140625" style="117" customWidth="1"/>
    <col min="5120" max="5122" width="0" style="117" hidden="1" customWidth="1"/>
    <col min="5123" max="5124" width="10.7109375" style="117" bestFit="1" customWidth="1"/>
    <col min="5125" max="5125" width="10.28515625" style="117" bestFit="1" customWidth="1"/>
    <col min="5126" max="5126" width="11.85546875" style="117" bestFit="1" customWidth="1"/>
    <col min="5127" max="5127" width="15.42578125" style="117" customWidth="1"/>
    <col min="5128" max="5363" width="9.140625" style="117"/>
    <col min="5364" max="5364" width="7" style="117" bestFit="1" customWidth="1"/>
    <col min="5365" max="5365" width="10" style="117" customWidth="1"/>
    <col min="5366" max="5366" width="5.28515625" style="117" bestFit="1" customWidth="1"/>
    <col min="5367" max="5367" width="55" style="117" customWidth="1"/>
    <col min="5368" max="5368" width="17" style="117" bestFit="1" customWidth="1"/>
    <col min="5369" max="5369" width="19.140625" style="117" customWidth="1"/>
    <col min="5370" max="5370" width="19.42578125" style="117" customWidth="1"/>
    <col min="5371" max="5375" width="15.140625" style="117" customWidth="1"/>
    <col min="5376" max="5378" width="0" style="117" hidden="1" customWidth="1"/>
    <col min="5379" max="5380" width="10.7109375" style="117" bestFit="1" customWidth="1"/>
    <col min="5381" max="5381" width="10.28515625" style="117" bestFit="1" customWidth="1"/>
    <col min="5382" max="5382" width="11.85546875" style="117" bestFit="1" customWidth="1"/>
    <col min="5383" max="5383" width="15.42578125" style="117" customWidth="1"/>
    <col min="5384" max="5619" width="9.140625" style="117"/>
    <col min="5620" max="5620" width="7" style="117" bestFit="1" customWidth="1"/>
    <col min="5621" max="5621" width="10" style="117" customWidth="1"/>
    <col min="5622" max="5622" width="5.28515625" style="117" bestFit="1" customWidth="1"/>
    <col min="5623" max="5623" width="55" style="117" customWidth="1"/>
    <col min="5624" max="5624" width="17" style="117" bestFit="1" customWidth="1"/>
    <col min="5625" max="5625" width="19.140625" style="117" customWidth="1"/>
    <col min="5626" max="5626" width="19.42578125" style="117" customWidth="1"/>
    <col min="5627" max="5631" width="15.140625" style="117" customWidth="1"/>
    <col min="5632" max="5634" width="0" style="117" hidden="1" customWidth="1"/>
    <col min="5635" max="5636" width="10.7109375" style="117" bestFit="1" customWidth="1"/>
    <col min="5637" max="5637" width="10.28515625" style="117" bestFit="1" customWidth="1"/>
    <col min="5638" max="5638" width="11.85546875" style="117" bestFit="1" customWidth="1"/>
    <col min="5639" max="5639" width="15.42578125" style="117" customWidth="1"/>
    <col min="5640" max="5875" width="9.140625" style="117"/>
    <col min="5876" max="5876" width="7" style="117" bestFit="1" customWidth="1"/>
    <col min="5877" max="5877" width="10" style="117" customWidth="1"/>
    <col min="5878" max="5878" width="5.28515625" style="117" bestFit="1" customWidth="1"/>
    <col min="5879" max="5879" width="55" style="117" customWidth="1"/>
    <col min="5880" max="5880" width="17" style="117" bestFit="1" customWidth="1"/>
    <col min="5881" max="5881" width="19.140625" style="117" customWidth="1"/>
    <col min="5882" max="5882" width="19.42578125" style="117" customWidth="1"/>
    <col min="5883" max="5887" width="15.140625" style="117" customWidth="1"/>
    <col min="5888" max="5890" width="0" style="117" hidden="1" customWidth="1"/>
    <col min="5891" max="5892" width="10.7109375" style="117" bestFit="1" customWidth="1"/>
    <col min="5893" max="5893" width="10.28515625" style="117" bestFit="1" customWidth="1"/>
    <col min="5894" max="5894" width="11.85546875" style="117" bestFit="1" customWidth="1"/>
    <col min="5895" max="5895" width="15.42578125" style="117" customWidth="1"/>
    <col min="5896" max="6131" width="9.140625" style="117"/>
    <col min="6132" max="6132" width="7" style="117" bestFit="1" customWidth="1"/>
    <col min="6133" max="6133" width="10" style="117" customWidth="1"/>
    <col min="6134" max="6134" width="5.28515625" style="117" bestFit="1" customWidth="1"/>
    <col min="6135" max="6135" width="55" style="117" customWidth="1"/>
    <col min="6136" max="6136" width="17" style="117" bestFit="1" customWidth="1"/>
    <col min="6137" max="6137" width="19.140625" style="117" customWidth="1"/>
    <col min="6138" max="6138" width="19.42578125" style="117" customWidth="1"/>
    <col min="6139" max="6143" width="15.140625" style="117" customWidth="1"/>
    <col min="6144" max="6146" width="0" style="117" hidden="1" customWidth="1"/>
    <col min="6147" max="6148" width="10.7109375" style="117" bestFit="1" customWidth="1"/>
    <col min="6149" max="6149" width="10.28515625" style="117" bestFit="1" customWidth="1"/>
    <col min="6150" max="6150" width="11.85546875" style="117" bestFit="1" customWidth="1"/>
    <col min="6151" max="6151" width="15.42578125" style="117" customWidth="1"/>
    <col min="6152" max="6387" width="9.140625" style="117"/>
    <col min="6388" max="6388" width="7" style="117" bestFit="1" customWidth="1"/>
    <col min="6389" max="6389" width="10" style="117" customWidth="1"/>
    <col min="6390" max="6390" width="5.28515625" style="117" bestFit="1" customWidth="1"/>
    <col min="6391" max="6391" width="55" style="117" customWidth="1"/>
    <col min="6392" max="6392" width="17" style="117" bestFit="1" customWidth="1"/>
    <col min="6393" max="6393" width="19.140625" style="117" customWidth="1"/>
    <col min="6394" max="6394" width="19.42578125" style="117" customWidth="1"/>
    <col min="6395" max="6399" width="15.140625" style="117" customWidth="1"/>
    <col min="6400" max="6402" width="0" style="117" hidden="1" customWidth="1"/>
    <col min="6403" max="6404" width="10.7109375" style="117" bestFit="1" customWidth="1"/>
    <col min="6405" max="6405" width="10.28515625" style="117" bestFit="1" customWidth="1"/>
    <col min="6406" max="6406" width="11.85546875" style="117" bestFit="1" customWidth="1"/>
    <col min="6407" max="6407" width="15.42578125" style="117" customWidth="1"/>
    <col min="6408" max="6643" width="9.140625" style="117"/>
    <col min="6644" max="6644" width="7" style="117" bestFit="1" customWidth="1"/>
    <col min="6645" max="6645" width="10" style="117" customWidth="1"/>
    <col min="6646" max="6646" width="5.28515625" style="117" bestFit="1" customWidth="1"/>
    <col min="6647" max="6647" width="55" style="117" customWidth="1"/>
    <col min="6648" max="6648" width="17" style="117" bestFit="1" customWidth="1"/>
    <col min="6649" max="6649" width="19.140625" style="117" customWidth="1"/>
    <col min="6650" max="6650" width="19.42578125" style="117" customWidth="1"/>
    <col min="6651" max="6655" width="15.140625" style="117" customWidth="1"/>
    <col min="6656" max="6658" width="0" style="117" hidden="1" customWidth="1"/>
    <col min="6659" max="6660" width="10.7109375" style="117" bestFit="1" customWidth="1"/>
    <col min="6661" max="6661" width="10.28515625" style="117" bestFit="1" customWidth="1"/>
    <col min="6662" max="6662" width="11.85546875" style="117" bestFit="1" customWidth="1"/>
    <col min="6663" max="6663" width="15.42578125" style="117" customWidth="1"/>
    <col min="6664" max="6899" width="9.140625" style="117"/>
    <col min="6900" max="6900" width="7" style="117" bestFit="1" customWidth="1"/>
    <col min="6901" max="6901" width="10" style="117" customWidth="1"/>
    <col min="6902" max="6902" width="5.28515625" style="117" bestFit="1" customWidth="1"/>
    <col min="6903" max="6903" width="55" style="117" customWidth="1"/>
    <col min="6904" max="6904" width="17" style="117" bestFit="1" customWidth="1"/>
    <col min="6905" max="6905" width="19.140625" style="117" customWidth="1"/>
    <col min="6906" max="6906" width="19.42578125" style="117" customWidth="1"/>
    <col min="6907" max="6911" width="15.140625" style="117" customWidth="1"/>
    <col min="6912" max="6914" width="0" style="117" hidden="1" customWidth="1"/>
    <col min="6915" max="6916" width="10.7109375" style="117" bestFit="1" customWidth="1"/>
    <col min="6917" max="6917" width="10.28515625" style="117" bestFit="1" customWidth="1"/>
    <col min="6918" max="6918" width="11.85546875" style="117" bestFit="1" customWidth="1"/>
    <col min="6919" max="6919" width="15.42578125" style="117" customWidth="1"/>
    <col min="6920" max="7155" width="9.140625" style="117"/>
    <col min="7156" max="7156" width="7" style="117" bestFit="1" customWidth="1"/>
    <col min="7157" max="7157" width="10" style="117" customWidth="1"/>
    <col min="7158" max="7158" width="5.28515625" style="117" bestFit="1" customWidth="1"/>
    <col min="7159" max="7159" width="55" style="117" customWidth="1"/>
    <col min="7160" max="7160" width="17" style="117" bestFit="1" customWidth="1"/>
    <col min="7161" max="7161" width="19.140625" style="117" customWidth="1"/>
    <col min="7162" max="7162" width="19.42578125" style="117" customWidth="1"/>
    <col min="7163" max="7167" width="15.140625" style="117" customWidth="1"/>
    <col min="7168" max="7170" width="0" style="117" hidden="1" customWidth="1"/>
    <col min="7171" max="7172" width="10.7109375" style="117" bestFit="1" customWidth="1"/>
    <col min="7173" max="7173" width="10.28515625" style="117" bestFit="1" customWidth="1"/>
    <col min="7174" max="7174" width="11.85546875" style="117" bestFit="1" customWidth="1"/>
    <col min="7175" max="7175" width="15.42578125" style="117" customWidth="1"/>
    <col min="7176" max="7411" width="9.140625" style="117"/>
    <col min="7412" max="7412" width="7" style="117" bestFit="1" customWidth="1"/>
    <col min="7413" max="7413" width="10" style="117" customWidth="1"/>
    <col min="7414" max="7414" width="5.28515625" style="117" bestFit="1" customWidth="1"/>
    <col min="7415" max="7415" width="55" style="117" customWidth="1"/>
    <col min="7416" max="7416" width="17" style="117" bestFit="1" customWidth="1"/>
    <col min="7417" max="7417" width="19.140625" style="117" customWidth="1"/>
    <col min="7418" max="7418" width="19.42578125" style="117" customWidth="1"/>
    <col min="7419" max="7423" width="15.140625" style="117" customWidth="1"/>
    <col min="7424" max="7426" width="0" style="117" hidden="1" customWidth="1"/>
    <col min="7427" max="7428" width="10.7109375" style="117" bestFit="1" customWidth="1"/>
    <col min="7429" max="7429" width="10.28515625" style="117" bestFit="1" customWidth="1"/>
    <col min="7430" max="7430" width="11.85546875" style="117" bestFit="1" customWidth="1"/>
    <col min="7431" max="7431" width="15.42578125" style="117" customWidth="1"/>
    <col min="7432" max="7667" width="9.140625" style="117"/>
    <col min="7668" max="7668" width="7" style="117" bestFit="1" customWidth="1"/>
    <col min="7669" max="7669" width="10" style="117" customWidth="1"/>
    <col min="7670" max="7670" width="5.28515625" style="117" bestFit="1" customWidth="1"/>
    <col min="7671" max="7671" width="55" style="117" customWidth="1"/>
    <col min="7672" max="7672" width="17" style="117" bestFit="1" customWidth="1"/>
    <col min="7673" max="7673" width="19.140625" style="117" customWidth="1"/>
    <col min="7674" max="7674" width="19.42578125" style="117" customWidth="1"/>
    <col min="7675" max="7679" width="15.140625" style="117" customWidth="1"/>
    <col min="7680" max="7682" width="0" style="117" hidden="1" customWidth="1"/>
    <col min="7683" max="7684" width="10.7109375" style="117" bestFit="1" customWidth="1"/>
    <col min="7685" max="7685" width="10.28515625" style="117" bestFit="1" customWidth="1"/>
    <col min="7686" max="7686" width="11.85546875" style="117" bestFit="1" customWidth="1"/>
    <col min="7687" max="7687" width="15.42578125" style="117" customWidth="1"/>
    <col min="7688" max="7923" width="9.140625" style="117"/>
    <col min="7924" max="7924" width="7" style="117" bestFit="1" customWidth="1"/>
    <col min="7925" max="7925" width="10" style="117" customWidth="1"/>
    <col min="7926" max="7926" width="5.28515625" style="117" bestFit="1" customWidth="1"/>
    <col min="7927" max="7927" width="55" style="117" customWidth="1"/>
    <col min="7928" max="7928" width="17" style="117" bestFit="1" customWidth="1"/>
    <col min="7929" max="7929" width="19.140625" style="117" customWidth="1"/>
    <col min="7930" max="7930" width="19.42578125" style="117" customWidth="1"/>
    <col min="7931" max="7935" width="15.140625" style="117" customWidth="1"/>
    <col min="7936" max="7938" width="0" style="117" hidden="1" customWidth="1"/>
    <col min="7939" max="7940" width="10.7109375" style="117" bestFit="1" customWidth="1"/>
    <col min="7941" max="7941" width="10.28515625" style="117" bestFit="1" customWidth="1"/>
    <col min="7942" max="7942" width="11.85546875" style="117" bestFit="1" customWidth="1"/>
    <col min="7943" max="7943" width="15.42578125" style="117" customWidth="1"/>
    <col min="7944" max="8179" width="9.140625" style="117"/>
    <col min="8180" max="8180" width="7" style="117" bestFit="1" customWidth="1"/>
    <col min="8181" max="8181" width="10" style="117" customWidth="1"/>
    <col min="8182" max="8182" width="5.28515625" style="117" bestFit="1" customWidth="1"/>
    <col min="8183" max="8183" width="55" style="117" customWidth="1"/>
    <col min="8184" max="8184" width="17" style="117" bestFit="1" customWidth="1"/>
    <col min="8185" max="8185" width="19.140625" style="117" customWidth="1"/>
    <col min="8186" max="8186" width="19.42578125" style="117" customWidth="1"/>
    <col min="8187" max="8191" width="15.140625" style="117" customWidth="1"/>
    <col min="8192" max="8194" width="0" style="117" hidden="1" customWidth="1"/>
    <col min="8195" max="8196" width="10.7109375" style="117" bestFit="1" customWidth="1"/>
    <col min="8197" max="8197" width="10.28515625" style="117" bestFit="1" customWidth="1"/>
    <col min="8198" max="8198" width="11.85546875" style="117" bestFit="1" customWidth="1"/>
    <col min="8199" max="8199" width="15.42578125" style="117" customWidth="1"/>
    <col min="8200" max="8435" width="9.140625" style="117"/>
    <col min="8436" max="8436" width="7" style="117" bestFit="1" customWidth="1"/>
    <col min="8437" max="8437" width="10" style="117" customWidth="1"/>
    <col min="8438" max="8438" width="5.28515625" style="117" bestFit="1" customWidth="1"/>
    <col min="8439" max="8439" width="55" style="117" customWidth="1"/>
    <col min="8440" max="8440" width="17" style="117" bestFit="1" customWidth="1"/>
    <col min="8441" max="8441" width="19.140625" style="117" customWidth="1"/>
    <col min="8442" max="8442" width="19.42578125" style="117" customWidth="1"/>
    <col min="8443" max="8447" width="15.140625" style="117" customWidth="1"/>
    <col min="8448" max="8450" width="0" style="117" hidden="1" customWidth="1"/>
    <col min="8451" max="8452" width="10.7109375" style="117" bestFit="1" customWidth="1"/>
    <col min="8453" max="8453" width="10.28515625" style="117" bestFit="1" customWidth="1"/>
    <col min="8454" max="8454" width="11.85546875" style="117" bestFit="1" customWidth="1"/>
    <col min="8455" max="8455" width="15.42578125" style="117" customWidth="1"/>
    <col min="8456" max="8691" width="9.140625" style="117"/>
    <col min="8692" max="8692" width="7" style="117" bestFit="1" customWidth="1"/>
    <col min="8693" max="8693" width="10" style="117" customWidth="1"/>
    <col min="8694" max="8694" width="5.28515625" style="117" bestFit="1" customWidth="1"/>
    <col min="8695" max="8695" width="55" style="117" customWidth="1"/>
    <col min="8696" max="8696" width="17" style="117" bestFit="1" customWidth="1"/>
    <col min="8697" max="8697" width="19.140625" style="117" customWidth="1"/>
    <col min="8698" max="8698" width="19.42578125" style="117" customWidth="1"/>
    <col min="8699" max="8703" width="15.140625" style="117" customWidth="1"/>
    <col min="8704" max="8706" width="0" style="117" hidden="1" customWidth="1"/>
    <col min="8707" max="8708" width="10.7109375" style="117" bestFit="1" customWidth="1"/>
    <col min="8709" max="8709" width="10.28515625" style="117" bestFit="1" customWidth="1"/>
    <col min="8710" max="8710" width="11.85546875" style="117" bestFit="1" customWidth="1"/>
    <col min="8711" max="8711" width="15.42578125" style="117" customWidth="1"/>
    <col min="8712" max="8947" width="9.140625" style="117"/>
    <col min="8948" max="8948" width="7" style="117" bestFit="1" customWidth="1"/>
    <col min="8949" max="8949" width="10" style="117" customWidth="1"/>
    <col min="8950" max="8950" width="5.28515625" style="117" bestFit="1" customWidth="1"/>
    <col min="8951" max="8951" width="55" style="117" customWidth="1"/>
    <col min="8952" max="8952" width="17" style="117" bestFit="1" customWidth="1"/>
    <col min="8953" max="8953" width="19.140625" style="117" customWidth="1"/>
    <col min="8954" max="8954" width="19.42578125" style="117" customWidth="1"/>
    <col min="8955" max="8959" width="15.140625" style="117" customWidth="1"/>
    <col min="8960" max="8962" width="0" style="117" hidden="1" customWidth="1"/>
    <col min="8963" max="8964" width="10.7109375" style="117" bestFit="1" customWidth="1"/>
    <col min="8965" max="8965" width="10.28515625" style="117" bestFit="1" customWidth="1"/>
    <col min="8966" max="8966" width="11.85546875" style="117" bestFit="1" customWidth="1"/>
    <col min="8967" max="8967" width="15.42578125" style="117" customWidth="1"/>
    <col min="8968" max="9203" width="9.140625" style="117"/>
    <col min="9204" max="9204" width="7" style="117" bestFit="1" customWidth="1"/>
    <col min="9205" max="9205" width="10" style="117" customWidth="1"/>
    <col min="9206" max="9206" width="5.28515625" style="117" bestFit="1" customWidth="1"/>
    <col min="9207" max="9207" width="55" style="117" customWidth="1"/>
    <col min="9208" max="9208" width="17" style="117" bestFit="1" customWidth="1"/>
    <col min="9209" max="9209" width="19.140625" style="117" customWidth="1"/>
    <col min="9210" max="9210" width="19.42578125" style="117" customWidth="1"/>
    <col min="9211" max="9215" width="15.140625" style="117" customWidth="1"/>
    <col min="9216" max="9218" width="0" style="117" hidden="1" customWidth="1"/>
    <col min="9219" max="9220" width="10.7109375" style="117" bestFit="1" customWidth="1"/>
    <col min="9221" max="9221" width="10.28515625" style="117" bestFit="1" customWidth="1"/>
    <col min="9222" max="9222" width="11.85546875" style="117" bestFit="1" customWidth="1"/>
    <col min="9223" max="9223" width="15.42578125" style="117" customWidth="1"/>
    <col min="9224" max="9459" width="9.140625" style="117"/>
    <col min="9460" max="9460" width="7" style="117" bestFit="1" customWidth="1"/>
    <col min="9461" max="9461" width="10" style="117" customWidth="1"/>
    <col min="9462" max="9462" width="5.28515625" style="117" bestFit="1" customWidth="1"/>
    <col min="9463" max="9463" width="55" style="117" customWidth="1"/>
    <col min="9464" max="9464" width="17" style="117" bestFit="1" customWidth="1"/>
    <col min="9465" max="9465" width="19.140625" style="117" customWidth="1"/>
    <col min="9466" max="9466" width="19.42578125" style="117" customWidth="1"/>
    <col min="9467" max="9471" width="15.140625" style="117" customWidth="1"/>
    <col min="9472" max="9474" width="0" style="117" hidden="1" customWidth="1"/>
    <col min="9475" max="9476" width="10.7109375" style="117" bestFit="1" customWidth="1"/>
    <col min="9477" max="9477" width="10.28515625" style="117" bestFit="1" customWidth="1"/>
    <col min="9478" max="9478" width="11.85546875" style="117" bestFit="1" customWidth="1"/>
    <col min="9479" max="9479" width="15.42578125" style="117" customWidth="1"/>
    <col min="9480" max="9715" width="9.140625" style="117"/>
    <col min="9716" max="9716" width="7" style="117" bestFit="1" customWidth="1"/>
    <col min="9717" max="9717" width="10" style="117" customWidth="1"/>
    <col min="9718" max="9718" width="5.28515625" style="117" bestFit="1" customWidth="1"/>
    <col min="9719" max="9719" width="55" style="117" customWidth="1"/>
    <col min="9720" max="9720" width="17" style="117" bestFit="1" customWidth="1"/>
    <col min="9721" max="9721" width="19.140625" style="117" customWidth="1"/>
    <col min="9722" max="9722" width="19.42578125" style="117" customWidth="1"/>
    <col min="9723" max="9727" width="15.140625" style="117" customWidth="1"/>
    <col min="9728" max="9730" width="0" style="117" hidden="1" customWidth="1"/>
    <col min="9731" max="9732" width="10.7109375" style="117" bestFit="1" customWidth="1"/>
    <col min="9733" max="9733" width="10.28515625" style="117" bestFit="1" customWidth="1"/>
    <col min="9734" max="9734" width="11.85546875" style="117" bestFit="1" customWidth="1"/>
    <col min="9735" max="9735" width="15.42578125" style="117" customWidth="1"/>
    <col min="9736" max="9971" width="9.140625" style="117"/>
    <col min="9972" max="9972" width="7" style="117" bestFit="1" customWidth="1"/>
    <col min="9973" max="9973" width="10" style="117" customWidth="1"/>
    <col min="9974" max="9974" width="5.28515625" style="117" bestFit="1" customWidth="1"/>
    <col min="9975" max="9975" width="55" style="117" customWidth="1"/>
    <col min="9976" max="9976" width="17" style="117" bestFit="1" customWidth="1"/>
    <col min="9977" max="9977" width="19.140625" style="117" customWidth="1"/>
    <col min="9978" max="9978" width="19.42578125" style="117" customWidth="1"/>
    <col min="9979" max="9983" width="15.140625" style="117" customWidth="1"/>
    <col min="9984" max="9986" width="0" style="117" hidden="1" customWidth="1"/>
    <col min="9987" max="9988" width="10.7109375" style="117" bestFit="1" customWidth="1"/>
    <col min="9989" max="9989" width="10.28515625" style="117" bestFit="1" customWidth="1"/>
    <col min="9990" max="9990" width="11.85546875" style="117" bestFit="1" customWidth="1"/>
    <col min="9991" max="9991" width="15.42578125" style="117" customWidth="1"/>
    <col min="9992" max="10227" width="9.140625" style="117"/>
    <col min="10228" max="10228" width="7" style="117" bestFit="1" customWidth="1"/>
    <col min="10229" max="10229" width="10" style="117" customWidth="1"/>
    <col min="10230" max="10230" width="5.28515625" style="117" bestFit="1" customWidth="1"/>
    <col min="10231" max="10231" width="55" style="117" customWidth="1"/>
    <col min="10232" max="10232" width="17" style="117" bestFit="1" customWidth="1"/>
    <col min="10233" max="10233" width="19.140625" style="117" customWidth="1"/>
    <col min="10234" max="10234" width="19.42578125" style="117" customWidth="1"/>
    <col min="10235" max="10239" width="15.140625" style="117" customWidth="1"/>
    <col min="10240" max="10242" width="0" style="117" hidden="1" customWidth="1"/>
    <col min="10243" max="10244" width="10.7109375" style="117" bestFit="1" customWidth="1"/>
    <col min="10245" max="10245" width="10.28515625" style="117" bestFit="1" customWidth="1"/>
    <col min="10246" max="10246" width="11.85546875" style="117" bestFit="1" customWidth="1"/>
    <col min="10247" max="10247" width="15.42578125" style="117" customWidth="1"/>
    <col min="10248" max="10483" width="9.140625" style="117"/>
    <col min="10484" max="10484" width="7" style="117" bestFit="1" customWidth="1"/>
    <col min="10485" max="10485" width="10" style="117" customWidth="1"/>
    <col min="10486" max="10486" width="5.28515625" style="117" bestFit="1" customWidth="1"/>
    <col min="10487" max="10487" width="55" style="117" customWidth="1"/>
    <col min="10488" max="10488" width="17" style="117" bestFit="1" customWidth="1"/>
    <col min="10489" max="10489" width="19.140625" style="117" customWidth="1"/>
    <col min="10490" max="10490" width="19.42578125" style="117" customWidth="1"/>
    <col min="10491" max="10495" width="15.140625" style="117" customWidth="1"/>
    <col min="10496" max="10498" width="0" style="117" hidden="1" customWidth="1"/>
    <col min="10499" max="10500" width="10.7109375" style="117" bestFit="1" customWidth="1"/>
    <col min="10501" max="10501" width="10.28515625" style="117" bestFit="1" customWidth="1"/>
    <col min="10502" max="10502" width="11.85546875" style="117" bestFit="1" customWidth="1"/>
    <col min="10503" max="10503" width="15.42578125" style="117" customWidth="1"/>
    <col min="10504" max="10739" width="9.140625" style="117"/>
    <col min="10740" max="10740" width="7" style="117" bestFit="1" customWidth="1"/>
    <col min="10741" max="10741" width="10" style="117" customWidth="1"/>
    <col min="10742" max="10742" width="5.28515625" style="117" bestFit="1" customWidth="1"/>
    <col min="10743" max="10743" width="55" style="117" customWidth="1"/>
    <col min="10744" max="10744" width="17" style="117" bestFit="1" customWidth="1"/>
    <col min="10745" max="10745" width="19.140625" style="117" customWidth="1"/>
    <col min="10746" max="10746" width="19.42578125" style="117" customWidth="1"/>
    <col min="10747" max="10751" width="15.140625" style="117" customWidth="1"/>
    <col min="10752" max="10754" width="0" style="117" hidden="1" customWidth="1"/>
    <col min="10755" max="10756" width="10.7109375" style="117" bestFit="1" customWidth="1"/>
    <col min="10757" max="10757" width="10.28515625" style="117" bestFit="1" customWidth="1"/>
    <col min="10758" max="10758" width="11.85546875" style="117" bestFit="1" customWidth="1"/>
    <col min="10759" max="10759" width="15.42578125" style="117" customWidth="1"/>
    <col min="10760" max="10995" width="9.140625" style="117"/>
    <col min="10996" max="10996" width="7" style="117" bestFit="1" customWidth="1"/>
    <col min="10997" max="10997" width="10" style="117" customWidth="1"/>
    <col min="10998" max="10998" width="5.28515625" style="117" bestFit="1" customWidth="1"/>
    <col min="10999" max="10999" width="55" style="117" customWidth="1"/>
    <col min="11000" max="11000" width="17" style="117" bestFit="1" customWidth="1"/>
    <col min="11001" max="11001" width="19.140625" style="117" customWidth="1"/>
    <col min="11002" max="11002" width="19.42578125" style="117" customWidth="1"/>
    <col min="11003" max="11007" width="15.140625" style="117" customWidth="1"/>
    <col min="11008" max="11010" width="0" style="117" hidden="1" customWidth="1"/>
    <col min="11011" max="11012" width="10.7109375" style="117" bestFit="1" customWidth="1"/>
    <col min="11013" max="11013" width="10.28515625" style="117" bestFit="1" customWidth="1"/>
    <col min="11014" max="11014" width="11.85546875" style="117" bestFit="1" customWidth="1"/>
    <col min="11015" max="11015" width="15.42578125" style="117" customWidth="1"/>
    <col min="11016" max="11251" width="9.140625" style="117"/>
    <col min="11252" max="11252" width="7" style="117" bestFit="1" customWidth="1"/>
    <col min="11253" max="11253" width="10" style="117" customWidth="1"/>
    <col min="11254" max="11254" width="5.28515625" style="117" bestFit="1" customWidth="1"/>
    <col min="11255" max="11255" width="55" style="117" customWidth="1"/>
    <col min="11256" max="11256" width="17" style="117" bestFit="1" customWidth="1"/>
    <col min="11257" max="11257" width="19.140625" style="117" customWidth="1"/>
    <col min="11258" max="11258" width="19.42578125" style="117" customWidth="1"/>
    <col min="11259" max="11263" width="15.140625" style="117" customWidth="1"/>
    <col min="11264" max="11266" width="0" style="117" hidden="1" customWidth="1"/>
    <col min="11267" max="11268" width="10.7109375" style="117" bestFit="1" customWidth="1"/>
    <col min="11269" max="11269" width="10.28515625" style="117" bestFit="1" customWidth="1"/>
    <col min="11270" max="11270" width="11.85546875" style="117" bestFit="1" customWidth="1"/>
    <col min="11271" max="11271" width="15.42578125" style="117" customWidth="1"/>
    <col min="11272" max="11507" width="9.140625" style="117"/>
    <col min="11508" max="11508" width="7" style="117" bestFit="1" customWidth="1"/>
    <col min="11509" max="11509" width="10" style="117" customWidth="1"/>
    <col min="11510" max="11510" width="5.28515625" style="117" bestFit="1" customWidth="1"/>
    <col min="11511" max="11511" width="55" style="117" customWidth="1"/>
    <col min="11512" max="11512" width="17" style="117" bestFit="1" customWidth="1"/>
    <col min="11513" max="11513" width="19.140625" style="117" customWidth="1"/>
    <col min="11514" max="11514" width="19.42578125" style="117" customWidth="1"/>
    <col min="11515" max="11519" width="15.140625" style="117" customWidth="1"/>
    <col min="11520" max="11522" width="0" style="117" hidden="1" customWidth="1"/>
    <col min="11523" max="11524" width="10.7109375" style="117" bestFit="1" customWidth="1"/>
    <col min="11525" max="11525" width="10.28515625" style="117" bestFit="1" customWidth="1"/>
    <col min="11526" max="11526" width="11.85546875" style="117" bestFit="1" customWidth="1"/>
    <col min="11527" max="11527" width="15.42578125" style="117" customWidth="1"/>
    <col min="11528" max="11763" width="9.140625" style="117"/>
    <col min="11764" max="11764" width="7" style="117" bestFit="1" customWidth="1"/>
    <col min="11765" max="11765" width="10" style="117" customWidth="1"/>
    <col min="11766" max="11766" width="5.28515625" style="117" bestFit="1" customWidth="1"/>
    <col min="11767" max="11767" width="55" style="117" customWidth="1"/>
    <col min="11768" max="11768" width="17" style="117" bestFit="1" customWidth="1"/>
    <col min="11769" max="11769" width="19.140625" style="117" customWidth="1"/>
    <col min="11770" max="11770" width="19.42578125" style="117" customWidth="1"/>
    <col min="11771" max="11775" width="15.140625" style="117" customWidth="1"/>
    <col min="11776" max="11778" width="0" style="117" hidden="1" customWidth="1"/>
    <col min="11779" max="11780" width="10.7109375" style="117" bestFit="1" customWidth="1"/>
    <col min="11781" max="11781" width="10.28515625" style="117" bestFit="1" customWidth="1"/>
    <col min="11782" max="11782" width="11.85546875" style="117" bestFit="1" customWidth="1"/>
    <col min="11783" max="11783" width="15.42578125" style="117" customWidth="1"/>
    <col min="11784" max="12019" width="9.140625" style="117"/>
    <col min="12020" max="12020" width="7" style="117" bestFit="1" customWidth="1"/>
    <col min="12021" max="12021" width="10" style="117" customWidth="1"/>
    <col min="12022" max="12022" width="5.28515625" style="117" bestFit="1" customWidth="1"/>
    <col min="12023" max="12023" width="55" style="117" customWidth="1"/>
    <col min="12024" max="12024" width="17" style="117" bestFit="1" customWidth="1"/>
    <col min="12025" max="12025" width="19.140625" style="117" customWidth="1"/>
    <col min="12026" max="12026" width="19.42578125" style="117" customWidth="1"/>
    <col min="12027" max="12031" width="15.140625" style="117" customWidth="1"/>
    <col min="12032" max="12034" width="0" style="117" hidden="1" customWidth="1"/>
    <col min="12035" max="12036" width="10.7109375" style="117" bestFit="1" customWidth="1"/>
    <col min="12037" max="12037" width="10.28515625" style="117" bestFit="1" customWidth="1"/>
    <col min="12038" max="12038" width="11.85546875" style="117" bestFit="1" customWidth="1"/>
    <col min="12039" max="12039" width="15.42578125" style="117" customWidth="1"/>
    <col min="12040" max="12275" width="9.140625" style="117"/>
    <col min="12276" max="12276" width="7" style="117" bestFit="1" customWidth="1"/>
    <col min="12277" max="12277" width="10" style="117" customWidth="1"/>
    <col min="12278" max="12278" width="5.28515625" style="117" bestFit="1" customWidth="1"/>
    <col min="12279" max="12279" width="55" style="117" customWidth="1"/>
    <col min="12280" max="12280" width="17" style="117" bestFit="1" customWidth="1"/>
    <col min="12281" max="12281" width="19.140625" style="117" customWidth="1"/>
    <col min="12282" max="12282" width="19.42578125" style="117" customWidth="1"/>
    <col min="12283" max="12287" width="15.140625" style="117" customWidth="1"/>
    <col min="12288" max="12290" width="0" style="117" hidden="1" customWidth="1"/>
    <col min="12291" max="12292" width="10.7109375" style="117" bestFit="1" customWidth="1"/>
    <col min="12293" max="12293" width="10.28515625" style="117" bestFit="1" customWidth="1"/>
    <col min="12294" max="12294" width="11.85546875" style="117" bestFit="1" customWidth="1"/>
    <col min="12295" max="12295" width="15.42578125" style="117" customWidth="1"/>
    <col min="12296" max="12531" width="9.140625" style="117"/>
    <col min="12532" max="12532" width="7" style="117" bestFit="1" customWidth="1"/>
    <col min="12533" max="12533" width="10" style="117" customWidth="1"/>
    <col min="12534" max="12534" width="5.28515625" style="117" bestFit="1" customWidth="1"/>
    <col min="12535" max="12535" width="55" style="117" customWidth="1"/>
    <col min="12536" max="12536" width="17" style="117" bestFit="1" customWidth="1"/>
    <col min="12537" max="12537" width="19.140625" style="117" customWidth="1"/>
    <col min="12538" max="12538" width="19.42578125" style="117" customWidth="1"/>
    <col min="12539" max="12543" width="15.140625" style="117" customWidth="1"/>
    <col min="12544" max="12546" width="0" style="117" hidden="1" customWidth="1"/>
    <col min="12547" max="12548" width="10.7109375" style="117" bestFit="1" customWidth="1"/>
    <col min="12549" max="12549" width="10.28515625" style="117" bestFit="1" customWidth="1"/>
    <col min="12550" max="12550" width="11.85546875" style="117" bestFit="1" customWidth="1"/>
    <col min="12551" max="12551" width="15.42578125" style="117" customWidth="1"/>
    <col min="12552" max="12787" width="9.140625" style="117"/>
    <col min="12788" max="12788" width="7" style="117" bestFit="1" customWidth="1"/>
    <col min="12789" max="12789" width="10" style="117" customWidth="1"/>
    <col min="12790" max="12790" width="5.28515625" style="117" bestFit="1" customWidth="1"/>
    <col min="12791" max="12791" width="55" style="117" customWidth="1"/>
    <col min="12792" max="12792" width="17" style="117" bestFit="1" customWidth="1"/>
    <col min="12793" max="12793" width="19.140625" style="117" customWidth="1"/>
    <col min="12794" max="12794" width="19.42578125" style="117" customWidth="1"/>
    <col min="12795" max="12799" width="15.140625" style="117" customWidth="1"/>
    <col min="12800" max="12802" width="0" style="117" hidden="1" customWidth="1"/>
    <col min="12803" max="12804" width="10.7109375" style="117" bestFit="1" customWidth="1"/>
    <col min="12805" max="12805" width="10.28515625" style="117" bestFit="1" customWidth="1"/>
    <col min="12806" max="12806" width="11.85546875" style="117" bestFit="1" customWidth="1"/>
    <col min="12807" max="12807" width="15.42578125" style="117" customWidth="1"/>
    <col min="12808" max="13043" width="9.140625" style="117"/>
    <col min="13044" max="13044" width="7" style="117" bestFit="1" customWidth="1"/>
    <col min="13045" max="13045" width="10" style="117" customWidth="1"/>
    <col min="13046" max="13046" width="5.28515625" style="117" bestFit="1" customWidth="1"/>
    <col min="13047" max="13047" width="55" style="117" customWidth="1"/>
    <col min="13048" max="13048" width="17" style="117" bestFit="1" customWidth="1"/>
    <col min="13049" max="13049" width="19.140625" style="117" customWidth="1"/>
    <col min="13050" max="13050" width="19.42578125" style="117" customWidth="1"/>
    <col min="13051" max="13055" width="15.140625" style="117" customWidth="1"/>
    <col min="13056" max="13058" width="0" style="117" hidden="1" customWidth="1"/>
    <col min="13059" max="13060" width="10.7109375" style="117" bestFit="1" customWidth="1"/>
    <col min="13061" max="13061" width="10.28515625" style="117" bestFit="1" customWidth="1"/>
    <col min="13062" max="13062" width="11.85546875" style="117" bestFit="1" customWidth="1"/>
    <col min="13063" max="13063" width="15.42578125" style="117" customWidth="1"/>
    <col min="13064" max="13299" width="9.140625" style="117"/>
    <col min="13300" max="13300" width="7" style="117" bestFit="1" customWidth="1"/>
    <col min="13301" max="13301" width="10" style="117" customWidth="1"/>
    <col min="13302" max="13302" width="5.28515625" style="117" bestFit="1" customWidth="1"/>
    <col min="13303" max="13303" width="55" style="117" customWidth="1"/>
    <col min="13304" max="13304" width="17" style="117" bestFit="1" customWidth="1"/>
    <col min="13305" max="13305" width="19.140625" style="117" customWidth="1"/>
    <col min="13306" max="13306" width="19.42578125" style="117" customWidth="1"/>
    <col min="13307" max="13311" width="15.140625" style="117" customWidth="1"/>
    <col min="13312" max="13314" width="0" style="117" hidden="1" customWidth="1"/>
    <col min="13315" max="13316" width="10.7109375" style="117" bestFit="1" customWidth="1"/>
    <col min="13317" max="13317" width="10.28515625" style="117" bestFit="1" customWidth="1"/>
    <col min="13318" max="13318" width="11.85546875" style="117" bestFit="1" customWidth="1"/>
    <col min="13319" max="13319" width="15.42578125" style="117" customWidth="1"/>
    <col min="13320" max="13555" width="9.140625" style="117"/>
    <col min="13556" max="13556" width="7" style="117" bestFit="1" customWidth="1"/>
    <col min="13557" max="13557" width="10" style="117" customWidth="1"/>
    <col min="13558" max="13558" width="5.28515625" style="117" bestFit="1" customWidth="1"/>
    <col min="13559" max="13559" width="55" style="117" customWidth="1"/>
    <col min="13560" max="13560" width="17" style="117" bestFit="1" customWidth="1"/>
    <col min="13561" max="13561" width="19.140625" style="117" customWidth="1"/>
    <col min="13562" max="13562" width="19.42578125" style="117" customWidth="1"/>
    <col min="13563" max="13567" width="15.140625" style="117" customWidth="1"/>
    <col min="13568" max="13570" width="0" style="117" hidden="1" customWidth="1"/>
    <col min="13571" max="13572" width="10.7109375" style="117" bestFit="1" customWidth="1"/>
    <col min="13573" max="13573" width="10.28515625" style="117" bestFit="1" customWidth="1"/>
    <col min="13574" max="13574" width="11.85546875" style="117" bestFit="1" customWidth="1"/>
    <col min="13575" max="13575" width="15.42578125" style="117" customWidth="1"/>
    <col min="13576" max="13811" width="9.140625" style="117"/>
    <col min="13812" max="13812" width="7" style="117" bestFit="1" customWidth="1"/>
    <col min="13813" max="13813" width="10" style="117" customWidth="1"/>
    <col min="13814" max="13814" width="5.28515625" style="117" bestFit="1" customWidth="1"/>
    <col min="13815" max="13815" width="55" style="117" customWidth="1"/>
    <col min="13816" max="13816" width="17" style="117" bestFit="1" customWidth="1"/>
    <col min="13817" max="13817" width="19.140625" style="117" customWidth="1"/>
    <col min="13818" max="13818" width="19.42578125" style="117" customWidth="1"/>
    <col min="13819" max="13823" width="15.140625" style="117" customWidth="1"/>
    <col min="13824" max="13826" width="0" style="117" hidden="1" customWidth="1"/>
    <col min="13827" max="13828" width="10.7109375" style="117" bestFit="1" customWidth="1"/>
    <col min="13829" max="13829" width="10.28515625" style="117" bestFit="1" customWidth="1"/>
    <col min="13830" max="13830" width="11.85546875" style="117" bestFit="1" customWidth="1"/>
    <col min="13831" max="13831" width="15.42578125" style="117" customWidth="1"/>
    <col min="13832" max="14067" width="9.140625" style="117"/>
    <col min="14068" max="14068" width="7" style="117" bestFit="1" customWidth="1"/>
    <col min="14069" max="14069" width="10" style="117" customWidth="1"/>
    <col min="14070" max="14070" width="5.28515625" style="117" bestFit="1" customWidth="1"/>
    <col min="14071" max="14071" width="55" style="117" customWidth="1"/>
    <col min="14072" max="14072" width="17" style="117" bestFit="1" customWidth="1"/>
    <col min="14073" max="14073" width="19.140625" style="117" customWidth="1"/>
    <col min="14074" max="14074" width="19.42578125" style="117" customWidth="1"/>
    <col min="14075" max="14079" width="15.140625" style="117" customWidth="1"/>
    <col min="14080" max="14082" width="0" style="117" hidden="1" customWidth="1"/>
    <col min="14083" max="14084" width="10.7109375" style="117" bestFit="1" customWidth="1"/>
    <col min="14085" max="14085" width="10.28515625" style="117" bestFit="1" customWidth="1"/>
    <col min="14086" max="14086" width="11.85546875" style="117" bestFit="1" customWidth="1"/>
    <col min="14087" max="14087" width="15.42578125" style="117" customWidth="1"/>
    <col min="14088" max="14323" width="9.140625" style="117"/>
    <col min="14324" max="14324" width="7" style="117" bestFit="1" customWidth="1"/>
    <col min="14325" max="14325" width="10" style="117" customWidth="1"/>
    <col min="14326" max="14326" width="5.28515625" style="117" bestFit="1" customWidth="1"/>
    <col min="14327" max="14327" width="55" style="117" customWidth="1"/>
    <col min="14328" max="14328" width="17" style="117" bestFit="1" customWidth="1"/>
    <col min="14329" max="14329" width="19.140625" style="117" customWidth="1"/>
    <col min="14330" max="14330" width="19.42578125" style="117" customWidth="1"/>
    <col min="14331" max="14335" width="15.140625" style="117" customWidth="1"/>
    <col min="14336" max="14338" width="0" style="117" hidden="1" customWidth="1"/>
    <col min="14339" max="14340" width="10.7109375" style="117" bestFit="1" customWidth="1"/>
    <col min="14341" max="14341" width="10.28515625" style="117" bestFit="1" customWidth="1"/>
    <col min="14342" max="14342" width="11.85546875" style="117" bestFit="1" customWidth="1"/>
    <col min="14343" max="14343" width="15.42578125" style="117" customWidth="1"/>
    <col min="14344" max="14579" width="9.140625" style="117"/>
    <col min="14580" max="14580" width="7" style="117" bestFit="1" customWidth="1"/>
    <col min="14581" max="14581" width="10" style="117" customWidth="1"/>
    <col min="14582" max="14582" width="5.28515625" style="117" bestFit="1" customWidth="1"/>
    <col min="14583" max="14583" width="55" style="117" customWidth="1"/>
    <col min="14584" max="14584" width="17" style="117" bestFit="1" customWidth="1"/>
    <col min="14585" max="14585" width="19.140625" style="117" customWidth="1"/>
    <col min="14586" max="14586" width="19.42578125" style="117" customWidth="1"/>
    <col min="14587" max="14591" width="15.140625" style="117" customWidth="1"/>
    <col min="14592" max="14594" width="0" style="117" hidden="1" customWidth="1"/>
    <col min="14595" max="14596" width="10.7109375" style="117" bestFit="1" customWidth="1"/>
    <col min="14597" max="14597" width="10.28515625" style="117" bestFit="1" customWidth="1"/>
    <col min="14598" max="14598" width="11.85546875" style="117" bestFit="1" customWidth="1"/>
    <col min="14599" max="14599" width="15.42578125" style="117" customWidth="1"/>
    <col min="14600" max="14835" width="9.140625" style="117"/>
    <col min="14836" max="14836" width="7" style="117" bestFit="1" customWidth="1"/>
    <col min="14837" max="14837" width="10" style="117" customWidth="1"/>
    <col min="14838" max="14838" width="5.28515625" style="117" bestFit="1" customWidth="1"/>
    <col min="14839" max="14839" width="55" style="117" customWidth="1"/>
    <col min="14840" max="14840" width="17" style="117" bestFit="1" customWidth="1"/>
    <col min="14841" max="14841" width="19.140625" style="117" customWidth="1"/>
    <col min="14842" max="14842" width="19.42578125" style="117" customWidth="1"/>
    <col min="14843" max="14847" width="15.140625" style="117" customWidth="1"/>
    <col min="14848" max="14850" width="0" style="117" hidden="1" customWidth="1"/>
    <col min="14851" max="14852" width="10.7109375" style="117" bestFit="1" customWidth="1"/>
    <col min="14853" max="14853" width="10.28515625" style="117" bestFit="1" customWidth="1"/>
    <col min="14854" max="14854" width="11.85546875" style="117" bestFit="1" customWidth="1"/>
    <col min="14855" max="14855" width="15.42578125" style="117" customWidth="1"/>
    <col min="14856" max="15091" width="9.140625" style="117"/>
    <col min="15092" max="15092" width="7" style="117" bestFit="1" customWidth="1"/>
    <col min="15093" max="15093" width="10" style="117" customWidth="1"/>
    <col min="15094" max="15094" width="5.28515625" style="117" bestFit="1" customWidth="1"/>
    <col min="15095" max="15095" width="55" style="117" customWidth="1"/>
    <col min="15096" max="15096" width="17" style="117" bestFit="1" customWidth="1"/>
    <col min="15097" max="15097" width="19.140625" style="117" customWidth="1"/>
    <col min="15098" max="15098" width="19.42578125" style="117" customWidth="1"/>
    <col min="15099" max="15103" width="15.140625" style="117" customWidth="1"/>
    <col min="15104" max="15106" width="0" style="117" hidden="1" customWidth="1"/>
    <col min="15107" max="15108" width="10.7109375" style="117" bestFit="1" customWidth="1"/>
    <col min="15109" max="15109" width="10.28515625" style="117" bestFit="1" customWidth="1"/>
    <col min="15110" max="15110" width="11.85546875" style="117" bestFit="1" customWidth="1"/>
    <col min="15111" max="15111" width="15.42578125" style="117" customWidth="1"/>
    <col min="15112" max="15347" width="9.140625" style="117"/>
    <col min="15348" max="15348" width="7" style="117" bestFit="1" customWidth="1"/>
    <col min="15349" max="15349" width="10" style="117" customWidth="1"/>
    <col min="15350" max="15350" width="5.28515625" style="117" bestFit="1" customWidth="1"/>
    <col min="15351" max="15351" width="55" style="117" customWidth="1"/>
    <col min="15352" max="15352" width="17" style="117" bestFit="1" customWidth="1"/>
    <col min="15353" max="15353" width="19.140625" style="117" customWidth="1"/>
    <col min="15354" max="15354" width="19.42578125" style="117" customWidth="1"/>
    <col min="15355" max="15359" width="15.140625" style="117" customWidth="1"/>
    <col min="15360" max="15362" width="0" style="117" hidden="1" customWidth="1"/>
    <col min="15363" max="15364" width="10.7109375" style="117" bestFit="1" customWidth="1"/>
    <col min="15365" max="15365" width="10.28515625" style="117" bestFit="1" customWidth="1"/>
    <col min="15366" max="15366" width="11.85546875" style="117" bestFit="1" customWidth="1"/>
    <col min="15367" max="15367" width="15.42578125" style="117" customWidth="1"/>
    <col min="15368" max="15603" width="9.140625" style="117"/>
    <col min="15604" max="15604" width="7" style="117" bestFit="1" customWidth="1"/>
    <col min="15605" max="15605" width="10" style="117" customWidth="1"/>
    <col min="15606" max="15606" width="5.28515625" style="117" bestFit="1" customWidth="1"/>
    <col min="15607" max="15607" width="55" style="117" customWidth="1"/>
    <col min="15608" max="15608" width="17" style="117" bestFit="1" customWidth="1"/>
    <col min="15609" max="15609" width="19.140625" style="117" customWidth="1"/>
    <col min="15610" max="15610" width="19.42578125" style="117" customWidth="1"/>
    <col min="15611" max="15615" width="15.140625" style="117" customWidth="1"/>
    <col min="15616" max="15618" width="0" style="117" hidden="1" customWidth="1"/>
    <col min="15619" max="15620" width="10.7109375" style="117" bestFit="1" customWidth="1"/>
    <col min="15621" max="15621" width="10.28515625" style="117" bestFit="1" customWidth="1"/>
    <col min="15622" max="15622" width="11.85546875" style="117" bestFit="1" customWidth="1"/>
    <col min="15623" max="15623" width="15.42578125" style="117" customWidth="1"/>
    <col min="15624" max="15859" width="9.140625" style="117"/>
    <col min="15860" max="15860" width="7" style="117" bestFit="1" customWidth="1"/>
    <col min="15861" max="15861" width="10" style="117" customWidth="1"/>
    <col min="15862" max="15862" width="5.28515625" style="117" bestFit="1" customWidth="1"/>
    <col min="15863" max="15863" width="55" style="117" customWidth="1"/>
    <col min="15864" max="15864" width="17" style="117" bestFit="1" customWidth="1"/>
    <col min="15865" max="15865" width="19.140625" style="117" customWidth="1"/>
    <col min="15866" max="15866" width="19.42578125" style="117" customWidth="1"/>
    <col min="15867" max="15871" width="15.140625" style="117" customWidth="1"/>
    <col min="15872" max="15874" width="0" style="117" hidden="1" customWidth="1"/>
    <col min="15875" max="15876" width="10.7109375" style="117" bestFit="1" customWidth="1"/>
    <col min="15877" max="15877" width="10.28515625" style="117" bestFit="1" customWidth="1"/>
    <col min="15878" max="15878" width="11.85546875" style="117" bestFit="1" customWidth="1"/>
    <col min="15879" max="15879" width="15.42578125" style="117" customWidth="1"/>
    <col min="15880" max="16115" width="9.140625" style="117"/>
    <col min="16116" max="16116" width="7" style="117" bestFit="1" customWidth="1"/>
    <col min="16117" max="16117" width="10" style="117" customWidth="1"/>
    <col min="16118" max="16118" width="5.28515625" style="117" bestFit="1" customWidth="1"/>
    <col min="16119" max="16119" width="55" style="117" customWidth="1"/>
    <col min="16120" max="16120" width="17" style="117" bestFit="1" customWidth="1"/>
    <col min="16121" max="16121" width="19.140625" style="117" customWidth="1"/>
    <col min="16122" max="16122" width="19.42578125" style="117" customWidth="1"/>
    <col min="16123" max="16127" width="15.140625" style="117" customWidth="1"/>
    <col min="16128" max="16130" width="0" style="117" hidden="1" customWidth="1"/>
    <col min="16131" max="16132" width="10.7109375" style="117" bestFit="1" customWidth="1"/>
    <col min="16133" max="16133" width="10.28515625" style="117" bestFit="1" customWidth="1"/>
    <col min="16134" max="16134" width="11.85546875" style="117" bestFit="1" customWidth="1"/>
    <col min="16135" max="16135" width="15.42578125" style="117" customWidth="1"/>
    <col min="16136" max="16384" width="9.140625" style="117"/>
  </cols>
  <sheetData>
    <row r="1" spans="1:9" ht="31.5" customHeight="1" x14ac:dyDescent="0.25">
      <c r="A1" s="586" t="s">
        <v>0</v>
      </c>
      <c r="B1" s="586"/>
      <c r="C1" s="586"/>
      <c r="D1" s="586"/>
      <c r="E1" s="586"/>
      <c r="F1" s="586"/>
      <c r="G1" s="586"/>
      <c r="H1" s="586"/>
      <c r="I1" s="586"/>
    </row>
    <row r="2" spans="1:9" ht="31.5" customHeight="1" x14ac:dyDescent="0.25">
      <c r="A2" s="586" t="s">
        <v>1</v>
      </c>
      <c r="B2" s="586"/>
      <c r="C2" s="586"/>
      <c r="D2" s="586"/>
      <c r="E2" s="586"/>
      <c r="F2" s="586"/>
      <c r="G2" s="586"/>
      <c r="H2" s="586"/>
      <c r="I2" s="586"/>
    </row>
    <row r="3" spans="1:9" ht="31.5" customHeight="1" x14ac:dyDescent="0.25">
      <c r="A3" s="586" t="s">
        <v>381</v>
      </c>
      <c r="B3" s="586"/>
      <c r="C3" s="586"/>
      <c r="D3" s="586"/>
      <c r="E3" s="586"/>
      <c r="F3" s="586"/>
      <c r="G3" s="586"/>
      <c r="H3" s="586"/>
      <c r="I3" s="586"/>
    </row>
    <row r="4" spans="1:9" ht="18.75" customHeight="1" x14ac:dyDescent="0.25">
      <c r="A4" s="111"/>
      <c r="B4" s="111"/>
      <c r="C4" s="111"/>
      <c r="D4" s="110"/>
      <c r="E4" s="110"/>
      <c r="F4" s="110"/>
      <c r="G4" s="112"/>
      <c r="H4" s="110"/>
      <c r="I4" s="110"/>
    </row>
    <row r="5" spans="1:9" ht="15.75" customHeight="1" x14ac:dyDescent="0.25">
      <c r="A5" s="587" t="s">
        <v>2</v>
      </c>
      <c r="B5" s="587"/>
      <c r="C5" s="587"/>
      <c r="D5" s="587"/>
      <c r="E5" s="587"/>
      <c r="F5" s="587"/>
      <c r="G5" s="587"/>
      <c r="H5" s="587"/>
      <c r="I5" s="587"/>
    </row>
    <row r="6" spans="1:9" s="118" customFormat="1" ht="56.25" customHeight="1" x14ac:dyDescent="0.25">
      <c r="A6" s="120" t="s">
        <v>3</v>
      </c>
      <c r="B6" s="120" t="s">
        <v>4</v>
      </c>
      <c r="C6" s="121" t="s">
        <v>5</v>
      </c>
      <c r="D6" s="122" t="s">
        <v>6</v>
      </c>
      <c r="E6" s="120" t="s">
        <v>556</v>
      </c>
      <c r="F6" s="120" t="s">
        <v>560</v>
      </c>
      <c r="G6" s="320" t="s">
        <v>558</v>
      </c>
      <c r="H6" s="113" t="s">
        <v>559</v>
      </c>
      <c r="I6" s="114" t="s">
        <v>557</v>
      </c>
    </row>
    <row r="7" spans="1:9" s="118" customFormat="1" x14ac:dyDescent="0.25">
      <c r="A7" s="588">
        <v>1</v>
      </c>
      <c r="B7" s="588"/>
      <c r="C7" s="588"/>
      <c r="D7" s="588"/>
      <c r="E7" s="123"/>
      <c r="F7" s="123"/>
      <c r="G7" s="124">
        <v>2</v>
      </c>
      <c r="H7" s="125">
        <v>3</v>
      </c>
      <c r="I7" s="125">
        <v>4</v>
      </c>
    </row>
    <row r="8" spans="1:9" s="131" customFormat="1" x14ac:dyDescent="0.25">
      <c r="A8" s="126">
        <v>6</v>
      </c>
      <c r="B8" s="127"/>
      <c r="C8" s="126"/>
      <c r="D8" s="128" t="s">
        <v>7</v>
      </c>
      <c r="E8" s="129" t="e">
        <f>E9+E17+E28+E37+E45+E49+E55+E62+E68+E98+E107</f>
        <v>#REF!</v>
      </c>
      <c r="F8" s="129" t="e">
        <f>F9+F17+F28+F37+F45+F49+F55+F62+F68+F98+F107</f>
        <v>#REF!</v>
      </c>
      <c r="G8" s="129">
        <f>G9+G17+G28+G37+G45+G49+G55+G62+G68+G85+G91+G98+G107</f>
        <v>27399696.079999998</v>
      </c>
      <c r="H8" s="129">
        <f t="shared" ref="H8:I8" si="0">H9+H17+H28+H37+H45+H49+H55+H62+H68+H85+H91+H98+H107</f>
        <v>28076192.190000001</v>
      </c>
      <c r="I8" s="129">
        <f t="shared" si="0"/>
        <v>28547127.919999998</v>
      </c>
    </row>
    <row r="9" spans="1:9" s="131" customFormat="1" ht="31.5" x14ac:dyDescent="0.25">
      <c r="A9" s="132"/>
      <c r="B9" s="133">
        <v>67</v>
      </c>
      <c r="C9" s="134"/>
      <c r="D9" s="135" t="s">
        <v>8</v>
      </c>
      <c r="E9" s="136" t="e">
        <f t="shared" ref="E9:I9" si="1">E10</f>
        <v>#REF!</v>
      </c>
      <c r="F9" s="136" t="e">
        <f t="shared" si="1"/>
        <v>#REF!</v>
      </c>
      <c r="G9" s="136">
        <f t="shared" si="1"/>
        <v>1250606.02</v>
      </c>
      <c r="H9" s="136">
        <f t="shared" si="1"/>
        <v>1250606.02</v>
      </c>
      <c r="I9" s="136">
        <f t="shared" si="1"/>
        <v>1250606.02</v>
      </c>
    </row>
    <row r="10" spans="1:9" s="131" customFormat="1" ht="31.5" x14ac:dyDescent="0.25">
      <c r="A10" s="132"/>
      <c r="B10" s="137" t="s">
        <v>9</v>
      </c>
      <c r="C10" s="138"/>
      <c r="D10" s="139" t="s">
        <v>10</v>
      </c>
      <c r="E10" s="140" t="e">
        <f>SUM(E11,#REF!)</f>
        <v>#REF!</v>
      </c>
      <c r="F10" s="140" t="e">
        <f>SUM(F11,#REF!)</f>
        <v>#REF!</v>
      </c>
      <c r="G10" s="140">
        <f>G11+G13</f>
        <v>1250606.02</v>
      </c>
      <c r="H10" s="140">
        <f t="shared" ref="H10:I10" si="2">H11+H13</f>
        <v>1250606.02</v>
      </c>
      <c r="I10" s="140">
        <f t="shared" si="2"/>
        <v>1250606.02</v>
      </c>
    </row>
    <row r="11" spans="1:9" s="131" customFormat="1" ht="31.5" x14ac:dyDescent="0.25">
      <c r="A11" s="132"/>
      <c r="B11" s="137" t="s">
        <v>11</v>
      </c>
      <c r="C11" s="138"/>
      <c r="D11" s="139" t="s">
        <v>12</v>
      </c>
      <c r="E11" s="140">
        <f t="shared" ref="E11:I11" si="3">E12</f>
        <v>0</v>
      </c>
      <c r="F11" s="140">
        <f t="shared" si="3"/>
        <v>0</v>
      </c>
      <c r="G11" s="140">
        <f t="shared" si="3"/>
        <v>481103.03</v>
      </c>
      <c r="H11" s="140">
        <f t="shared" si="3"/>
        <v>481103.03</v>
      </c>
      <c r="I11" s="140">
        <f t="shared" si="3"/>
        <v>481103.03</v>
      </c>
    </row>
    <row r="12" spans="1:9" s="131" customFormat="1" ht="15.75" customHeight="1" x14ac:dyDescent="0.25">
      <c r="A12" s="132"/>
      <c r="B12" s="141" t="s">
        <v>475</v>
      </c>
      <c r="C12" s="142"/>
      <c r="D12" s="143" t="s">
        <v>12</v>
      </c>
      <c r="E12" s="144">
        <v>0</v>
      </c>
      <c r="F12" s="144">
        <v>0</v>
      </c>
      <c r="G12" s="144">
        <v>481103.03</v>
      </c>
      <c r="H12" s="144">
        <v>481103.03</v>
      </c>
      <c r="I12" s="144">
        <v>481103.03</v>
      </c>
    </row>
    <row r="13" spans="1:9" s="150" customFormat="1" ht="15.75" customHeight="1" x14ac:dyDescent="0.25">
      <c r="A13" s="145"/>
      <c r="B13" s="137" t="s">
        <v>13</v>
      </c>
      <c r="C13" s="138"/>
      <c r="D13" s="139" t="s">
        <v>14</v>
      </c>
      <c r="E13" s="140">
        <f t="shared" ref="E13:I13" si="4">E14</f>
        <v>0</v>
      </c>
      <c r="F13" s="140">
        <f t="shared" si="4"/>
        <v>0</v>
      </c>
      <c r="G13" s="140">
        <f t="shared" si="4"/>
        <v>769502.99</v>
      </c>
      <c r="H13" s="140">
        <f t="shared" si="4"/>
        <v>769502.99</v>
      </c>
      <c r="I13" s="140">
        <f t="shared" si="4"/>
        <v>769502.99</v>
      </c>
    </row>
    <row r="14" spans="1:9" s="150" customFormat="1" ht="15.75" customHeight="1" x14ac:dyDescent="0.25">
      <c r="A14" s="145"/>
      <c r="B14" s="141" t="s">
        <v>476</v>
      </c>
      <c r="C14" s="142"/>
      <c r="D14" s="143" t="s">
        <v>14</v>
      </c>
      <c r="E14" s="144">
        <v>0</v>
      </c>
      <c r="F14" s="144">
        <v>0</v>
      </c>
      <c r="G14" s="144">
        <v>769502.99</v>
      </c>
      <c r="H14" s="144">
        <v>769502.99</v>
      </c>
      <c r="I14" s="144">
        <v>769502.99</v>
      </c>
    </row>
    <row r="15" spans="1:9" s="150" customFormat="1" x14ac:dyDescent="0.25">
      <c r="A15" s="145"/>
      <c r="B15" s="146"/>
      <c r="C15" s="529">
        <v>11</v>
      </c>
      <c r="D15" s="148" t="s">
        <v>15</v>
      </c>
      <c r="E15" s="149" t="e">
        <f>E9</f>
        <v>#REF!</v>
      </c>
      <c r="F15" s="149" t="e">
        <f>F9</f>
        <v>#REF!</v>
      </c>
      <c r="G15" s="149">
        <f>G9</f>
        <v>1250606.02</v>
      </c>
      <c r="H15" s="149">
        <f>H9</f>
        <v>1250606.02</v>
      </c>
      <c r="I15" s="149">
        <f>I9</f>
        <v>1250606.02</v>
      </c>
    </row>
    <row r="16" spans="1:9" s="150" customFormat="1" x14ac:dyDescent="0.25">
      <c r="A16" s="145"/>
      <c r="B16" s="146"/>
      <c r="C16" s="523" t="s">
        <v>717</v>
      </c>
      <c r="D16" s="524" t="s">
        <v>718</v>
      </c>
      <c r="E16" s="149"/>
      <c r="F16" s="149"/>
      <c r="G16" s="149">
        <f>G15</f>
        <v>1250606.02</v>
      </c>
      <c r="H16" s="149">
        <f t="shared" ref="H16:I16" si="5">H15</f>
        <v>1250606.02</v>
      </c>
      <c r="I16" s="149">
        <f t="shared" si="5"/>
        <v>1250606.02</v>
      </c>
    </row>
    <row r="17" spans="1:9" s="131" customFormat="1" x14ac:dyDescent="0.25">
      <c r="A17" s="151"/>
      <c r="B17" s="165">
        <v>64</v>
      </c>
      <c r="C17" s="166"/>
      <c r="D17" s="167" t="s">
        <v>42</v>
      </c>
      <c r="E17" s="168">
        <f>SUM(E18,E25)</f>
        <v>0</v>
      </c>
      <c r="F17" s="168">
        <f t="shared" ref="F17:I17" si="6">SUM(F18,F25)</f>
        <v>0</v>
      </c>
      <c r="G17" s="168">
        <f t="shared" si="6"/>
        <v>1000</v>
      </c>
      <c r="H17" s="168">
        <f t="shared" si="6"/>
        <v>1404</v>
      </c>
      <c r="I17" s="168">
        <f t="shared" si="6"/>
        <v>1408.08</v>
      </c>
    </row>
    <row r="18" spans="1:9" s="131" customFormat="1" x14ac:dyDescent="0.25">
      <c r="A18" s="151"/>
      <c r="B18" s="169">
        <v>641</v>
      </c>
      <c r="C18" s="170"/>
      <c r="D18" s="154" t="s">
        <v>43</v>
      </c>
      <c r="E18" s="155">
        <f>SUM(E19,E21,E23)</f>
        <v>0</v>
      </c>
      <c r="F18" s="155">
        <f t="shared" ref="F18:I18" si="7">SUM(F19,F21,F23)</f>
        <v>0</v>
      </c>
      <c r="G18" s="155">
        <f t="shared" si="7"/>
        <v>600</v>
      </c>
      <c r="H18" s="155">
        <f t="shared" si="7"/>
        <v>804</v>
      </c>
      <c r="I18" s="155">
        <f t="shared" si="7"/>
        <v>808.08</v>
      </c>
    </row>
    <row r="19" spans="1:9" s="131" customFormat="1" x14ac:dyDescent="0.25">
      <c r="A19" s="151"/>
      <c r="B19" s="169">
        <v>6413</v>
      </c>
      <c r="C19" s="183"/>
      <c r="D19" s="154" t="s">
        <v>57</v>
      </c>
      <c r="E19" s="155">
        <f t="shared" ref="E19:I19" si="8">SUM(E20)</f>
        <v>0</v>
      </c>
      <c r="F19" s="155">
        <f t="shared" si="8"/>
        <v>0</v>
      </c>
      <c r="G19" s="155">
        <f t="shared" si="8"/>
        <v>550</v>
      </c>
      <c r="H19" s="155">
        <f t="shared" si="8"/>
        <v>754</v>
      </c>
      <c r="I19" s="155">
        <f t="shared" si="8"/>
        <v>758.08</v>
      </c>
    </row>
    <row r="20" spans="1:9" s="118" customFormat="1" x14ac:dyDescent="0.25">
      <c r="A20" s="132"/>
      <c r="B20" s="184">
        <v>64132</v>
      </c>
      <c r="C20" s="125"/>
      <c r="D20" s="185" t="s">
        <v>254</v>
      </c>
      <c r="E20" s="163">
        <v>0</v>
      </c>
      <c r="F20" s="163">
        <v>0</v>
      </c>
      <c r="G20" s="163">
        <f>200+150+200</f>
        <v>550</v>
      </c>
      <c r="H20" s="163">
        <f>400+150+204</f>
        <v>754</v>
      </c>
      <c r="I20" s="163">
        <f>400+150+208.08</f>
        <v>758.08</v>
      </c>
    </row>
    <row r="21" spans="1:9" s="131" customFormat="1" x14ac:dyDescent="0.25">
      <c r="A21" s="151"/>
      <c r="B21" s="169">
        <v>6414</v>
      </c>
      <c r="C21" s="183"/>
      <c r="D21" s="154" t="s">
        <v>574</v>
      </c>
      <c r="E21" s="155">
        <f>E22</f>
        <v>0</v>
      </c>
      <c r="F21" s="155">
        <f t="shared" ref="F21:I21" si="9">F22</f>
        <v>0</v>
      </c>
      <c r="G21" s="155">
        <f t="shared" si="9"/>
        <v>50</v>
      </c>
      <c r="H21" s="155">
        <f t="shared" si="9"/>
        <v>50</v>
      </c>
      <c r="I21" s="155">
        <f t="shared" si="9"/>
        <v>50</v>
      </c>
    </row>
    <row r="22" spans="1:9" s="118" customFormat="1" x14ac:dyDescent="0.25">
      <c r="A22" s="132"/>
      <c r="B22" s="184">
        <v>64143</v>
      </c>
      <c r="C22" s="125"/>
      <c r="D22" s="185" t="s">
        <v>574</v>
      </c>
      <c r="E22" s="163">
        <v>0</v>
      </c>
      <c r="F22" s="163"/>
      <c r="G22" s="163">
        <v>50</v>
      </c>
      <c r="H22" s="163">
        <v>50</v>
      </c>
      <c r="I22" s="163">
        <v>50</v>
      </c>
    </row>
    <row r="23" spans="1:9" s="118" customFormat="1" x14ac:dyDescent="0.25">
      <c r="A23" s="132"/>
      <c r="B23" s="169">
        <v>6419</v>
      </c>
      <c r="C23" s="183"/>
      <c r="D23" s="154" t="s">
        <v>44</v>
      </c>
      <c r="E23" s="155">
        <f>E24</f>
        <v>0</v>
      </c>
      <c r="F23" s="155">
        <f t="shared" ref="F23:I23" si="10">F24</f>
        <v>0</v>
      </c>
      <c r="G23" s="155">
        <f t="shared" si="10"/>
        <v>0</v>
      </c>
      <c r="H23" s="155">
        <f t="shared" si="10"/>
        <v>0</v>
      </c>
      <c r="I23" s="155">
        <f t="shared" si="10"/>
        <v>0</v>
      </c>
    </row>
    <row r="24" spans="1:9" s="118" customFormat="1" x14ac:dyDescent="0.25">
      <c r="A24" s="132"/>
      <c r="B24" s="184">
        <v>64199</v>
      </c>
      <c r="C24" s="125"/>
      <c r="D24" s="185" t="s">
        <v>44</v>
      </c>
      <c r="E24" s="163"/>
      <c r="F24" s="163"/>
      <c r="G24" s="163">
        <v>0</v>
      </c>
      <c r="H24" s="163">
        <v>0</v>
      </c>
      <c r="I24" s="163">
        <v>0</v>
      </c>
    </row>
    <row r="25" spans="1:9" s="131" customFormat="1" x14ac:dyDescent="0.25">
      <c r="A25" s="151"/>
      <c r="B25" s="169">
        <v>642</v>
      </c>
      <c r="C25" s="183"/>
      <c r="D25" s="154" t="s">
        <v>658</v>
      </c>
      <c r="E25" s="155">
        <f>E26</f>
        <v>0</v>
      </c>
      <c r="F25" s="155">
        <f t="shared" ref="F25:I25" si="11">F26</f>
        <v>0</v>
      </c>
      <c r="G25" s="155">
        <f t="shared" si="11"/>
        <v>400</v>
      </c>
      <c r="H25" s="155">
        <f t="shared" si="11"/>
        <v>600</v>
      </c>
      <c r="I25" s="155">
        <f t="shared" si="11"/>
        <v>600</v>
      </c>
    </row>
    <row r="26" spans="1:9" s="118" customFormat="1" x14ac:dyDescent="0.25">
      <c r="A26" s="132"/>
      <c r="B26" s="169">
        <v>6429</v>
      </c>
      <c r="C26" s="183"/>
      <c r="D26" s="507" t="s">
        <v>58</v>
      </c>
      <c r="E26" s="508">
        <f>E27</f>
        <v>0</v>
      </c>
      <c r="F26" s="508">
        <f t="shared" ref="F26:I26" si="12">F27</f>
        <v>0</v>
      </c>
      <c r="G26" s="508">
        <f t="shared" si="12"/>
        <v>400</v>
      </c>
      <c r="H26" s="508">
        <f t="shared" si="12"/>
        <v>600</v>
      </c>
      <c r="I26" s="508">
        <f t="shared" si="12"/>
        <v>600</v>
      </c>
    </row>
    <row r="27" spans="1:9" s="118" customFormat="1" x14ac:dyDescent="0.25">
      <c r="A27" s="132"/>
      <c r="B27" s="184">
        <v>64299</v>
      </c>
      <c r="C27" s="125"/>
      <c r="D27" s="185" t="s">
        <v>58</v>
      </c>
      <c r="E27" s="80"/>
      <c r="F27" s="80"/>
      <c r="G27" s="163">
        <v>400</v>
      </c>
      <c r="H27" s="163">
        <v>600</v>
      </c>
      <c r="I27" s="163">
        <v>600</v>
      </c>
    </row>
    <row r="28" spans="1:9" s="118" customFormat="1" ht="31.5" x14ac:dyDescent="0.25">
      <c r="A28" s="151"/>
      <c r="B28" s="133">
        <v>66</v>
      </c>
      <c r="C28" s="134"/>
      <c r="D28" s="135" t="s">
        <v>59</v>
      </c>
      <c r="E28" s="186">
        <f t="shared" ref="E28:I28" si="13">SUM(E29)</f>
        <v>0</v>
      </c>
      <c r="F28" s="186">
        <f t="shared" si="13"/>
        <v>0</v>
      </c>
      <c r="G28" s="186">
        <f t="shared" si="13"/>
        <v>3643116.33</v>
      </c>
      <c r="H28" s="186">
        <f t="shared" si="13"/>
        <v>3683716.33</v>
      </c>
      <c r="I28" s="186">
        <f t="shared" si="13"/>
        <v>3714928.33</v>
      </c>
    </row>
    <row r="29" spans="1:9" s="118" customFormat="1" x14ac:dyDescent="0.25">
      <c r="A29" s="151"/>
      <c r="B29" s="156" t="s">
        <v>60</v>
      </c>
      <c r="C29" s="157"/>
      <c r="D29" s="158" t="s">
        <v>61</v>
      </c>
      <c r="E29" s="187">
        <f>SUM(E30,E33)</f>
        <v>0</v>
      </c>
      <c r="F29" s="187">
        <f t="shared" ref="F29:I29" si="14">SUM(F30,F33)</f>
        <v>0</v>
      </c>
      <c r="G29" s="187">
        <f t="shared" si="14"/>
        <v>3643116.33</v>
      </c>
      <c r="H29" s="187">
        <f t="shared" si="14"/>
        <v>3683716.33</v>
      </c>
      <c r="I29" s="187">
        <f t="shared" si="14"/>
        <v>3714928.33</v>
      </c>
    </row>
    <row r="30" spans="1:9" s="118" customFormat="1" x14ac:dyDescent="0.25">
      <c r="A30" s="151"/>
      <c r="B30" s="156" t="s">
        <v>62</v>
      </c>
      <c r="C30" s="157"/>
      <c r="D30" s="158" t="s">
        <v>63</v>
      </c>
      <c r="E30" s="187">
        <f>E31+E32</f>
        <v>0</v>
      </c>
      <c r="F30" s="187">
        <f t="shared" ref="F30:I30" si="15">F31+F32</f>
        <v>0</v>
      </c>
      <c r="G30" s="187">
        <f t="shared" si="15"/>
        <v>2625000</v>
      </c>
      <c r="H30" s="187">
        <f t="shared" si="15"/>
        <v>2656000</v>
      </c>
      <c r="I30" s="187">
        <f t="shared" si="15"/>
        <v>2677000</v>
      </c>
    </row>
    <row r="31" spans="1:9" s="118" customFormat="1" x14ac:dyDescent="0.25">
      <c r="A31" s="151"/>
      <c r="B31" s="160" t="s">
        <v>659</v>
      </c>
      <c r="C31" s="180"/>
      <c r="D31" s="161" t="s">
        <v>722</v>
      </c>
      <c r="E31" s="188">
        <v>0</v>
      </c>
      <c r="F31" s="188">
        <v>0</v>
      </c>
      <c r="G31" s="188">
        <v>25000</v>
      </c>
      <c r="H31" s="188">
        <v>26000</v>
      </c>
      <c r="I31" s="188">
        <v>27000</v>
      </c>
    </row>
    <row r="32" spans="1:9" s="118" customFormat="1" x14ac:dyDescent="0.25">
      <c r="A32" s="132"/>
      <c r="B32" s="160" t="s">
        <v>653</v>
      </c>
      <c r="C32" s="180"/>
      <c r="D32" s="161" t="s">
        <v>654</v>
      </c>
      <c r="E32" s="188"/>
      <c r="F32" s="188"/>
      <c r="G32" s="188">
        <f>1000000+1600000</f>
        <v>2600000</v>
      </c>
      <c r="H32" s="188">
        <f>1020000+1610000</f>
        <v>2630000</v>
      </c>
      <c r="I32" s="188">
        <f>1040000+1610000</f>
        <v>2650000</v>
      </c>
    </row>
    <row r="33" spans="1:9" s="118" customFormat="1" x14ac:dyDescent="0.25">
      <c r="A33" s="151"/>
      <c r="B33" s="156" t="s">
        <v>64</v>
      </c>
      <c r="C33" s="157"/>
      <c r="D33" s="158" t="s">
        <v>65</v>
      </c>
      <c r="E33" s="187">
        <f>SUM(E34:E36)</f>
        <v>0</v>
      </c>
      <c r="F33" s="187">
        <f t="shared" ref="F33:I33" si="16">SUM(F34:F36)</f>
        <v>0</v>
      </c>
      <c r="G33" s="187">
        <f t="shared" si="16"/>
        <v>1018116.33</v>
      </c>
      <c r="H33" s="187">
        <f t="shared" si="16"/>
        <v>1027716.33</v>
      </c>
      <c r="I33" s="187">
        <f t="shared" si="16"/>
        <v>1037928.33</v>
      </c>
    </row>
    <row r="34" spans="1:9" s="131" customFormat="1" x14ac:dyDescent="0.25">
      <c r="A34" s="132"/>
      <c r="B34" s="160" t="s">
        <v>481</v>
      </c>
      <c r="C34" s="180"/>
      <c r="D34" s="161" t="s">
        <v>65</v>
      </c>
      <c r="E34" s="189">
        <v>0</v>
      </c>
      <c r="F34" s="189">
        <v>0</v>
      </c>
      <c r="G34" s="189">
        <f>350000+163116.33+500000</f>
        <v>1013116.33</v>
      </c>
      <c r="H34" s="189">
        <f>350000+163116.33+509000</f>
        <v>1022116.33</v>
      </c>
      <c r="I34" s="189">
        <f>350000+163116.33+518000</f>
        <v>1031116.33</v>
      </c>
    </row>
    <row r="35" spans="1:9" s="131" customFormat="1" hidden="1" x14ac:dyDescent="0.25">
      <c r="A35" s="132"/>
      <c r="B35" s="160" t="s">
        <v>575</v>
      </c>
      <c r="C35" s="180"/>
      <c r="D35" s="161" t="s">
        <v>576</v>
      </c>
      <c r="E35" s="189">
        <v>0</v>
      </c>
      <c r="F35" s="189">
        <v>0</v>
      </c>
      <c r="G35" s="189"/>
      <c r="H35" s="188"/>
      <c r="I35" s="163"/>
    </row>
    <row r="36" spans="1:9" s="131" customFormat="1" x14ac:dyDescent="0.25">
      <c r="A36" s="132"/>
      <c r="B36" s="160" t="s">
        <v>660</v>
      </c>
      <c r="C36" s="180"/>
      <c r="D36" s="161" t="s">
        <v>661</v>
      </c>
      <c r="E36" s="189">
        <v>0</v>
      </c>
      <c r="F36" s="189">
        <v>0</v>
      </c>
      <c r="G36" s="189">
        <v>5000</v>
      </c>
      <c r="H36" s="188">
        <v>5600</v>
      </c>
      <c r="I36" s="163">
        <v>6812</v>
      </c>
    </row>
    <row r="37" spans="1:9" s="131" customFormat="1" x14ac:dyDescent="0.25">
      <c r="A37" s="151"/>
      <c r="B37" s="133" t="s">
        <v>51</v>
      </c>
      <c r="C37" s="134"/>
      <c r="D37" s="135" t="s">
        <v>52</v>
      </c>
      <c r="E37" s="186">
        <f t="shared" ref="E37:I38" si="17">SUM(E38)</f>
        <v>0</v>
      </c>
      <c r="F37" s="186">
        <f t="shared" si="17"/>
        <v>0</v>
      </c>
      <c r="G37" s="186">
        <f t="shared" si="17"/>
        <v>161000</v>
      </c>
      <c r="H37" s="186">
        <f t="shared" si="17"/>
        <v>166620</v>
      </c>
      <c r="I37" s="186">
        <f t="shared" si="17"/>
        <v>167252.4</v>
      </c>
    </row>
    <row r="38" spans="1:9" s="131" customFormat="1" x14ac:dyDescent="0.25">
      <c r="A38" s="151"/>
      <c r="B38" s="156" t="s">
        <v>53</v>
      </c>
      <c r="C38" s="157"/>
      <c r="D38" s="158" t="s">
        <v>54</v>
      </c>
      <c r="E38" s="187">
        <f t="shared" si="17"/>
        <v>0</v>
      </c>
      <c r="F38" s="187">
        <f t="shared" si="17"/>
        <v>0</v>
      </c>
      <c r="G38" s="187">
        <f t="shared" si="17"/>
        <v>161000</v>
      </c>
      <c r="H38" s="187">
        <f t="shared" si="17"/>
        <v>166620</v>
      </c>
      <c r="I38" s="187">
        <f t="shared" si="17"/>
        <v>167252.4</v>
      </c>
    </row>
    <row r="39" spans="1:9" s="131" customFormat="1" x14ac:dyDescent="0.25">
      <c r="A39" s="132"/>
      <c r="B39" s="156" t="s">
        <v>55</v>
      </c>
      <c r="C39" s="157"/>
      <c r="D39" s="158" t="s">
        <v>54</v>
      </c>
      <c r="E39" s="187">
        <f>E40+E41+E42</f>
        <v>0</v>
      </c>
      <c r="F39" s="187">
        <f t="shared" ref="F39:I39" si="18">F40+F41+F42</f>
        <v>0</v>
      </c>
      <c r="G39" s="187">
        <f t="shared" si="18"/>
        <v>161000</v>
      </c>
      <c r="H39" s="187">
        <f t="shared" si="18"/>
        <v>166620</v>
      </c>
      <c r="I39" s="187">
        <f t="shared" si="18"/>
        <v>167252.4</v>
      </c>
    </row>
    <row r="40" spans="1:9" s="118" customFormat="1" x14ac:dyDescent="0.25">
      <c r="A40" s="132"/>
      <c r="B40" s="160" t="s">
        <v>480</v>
      </c>
      <c r="C40" s="180"/>
      <c r="D40" s="161" t="s">
        <v>54</v>
      </c>
      <c r="E40" s="188">
        <v>0</v>
      </c>
      <c r="F40" s="188">
        <v>0</v>
      </c>
      <c r="G40" s="188">
        <f>3000+130000</f>
        <v>133000</v>
      </c>
      <c r="H40" s="188">
        <f>3000+135000</f>
        <v>138000</v>
      </c>
      <c r="I40" s="163">
        <f>3000+135000</f>
        <v>138000</v>
      </c>
    </row>
    <row r="41" spans="1:9" s="118" customFormat="1" x14ac:dyDescent="0.25">
      <c r="A41" s="132"/>
      <c r="B41" s="160" t="s">
        <v>662</v>
      </c>
      <c r="C41" s="180"/>
      <c r="D41" s="161" t="s">
        <v>664</v>
      </c>
      <c r="E41" s="188">
        <v>0</v>
      </c>
      <c r="F41" s="188">
        <v>0</v>
      </c>
      <c r="G41" s="188">
        <v>3000</v>
      </c>
      <c r="H41" s="188">
        <v>3000</v>
      </c>
      <c r="I41" s="163">
        <v>3000</v>
      </c>
    </row>
    <row r="42" spans="1:9" s="118" customFormat="1" x14ac:dyDescent="0.25">
      <c r="A42" s="132"/>
      <c r="B42" s="160" t="s">
        <v>663</v>
      </c>
      <c r="C42" s="180"/>
      <c r="D42" s="161" t="s">
        <v>669</v>
      </c>
      <c r="E42" s="188">
        <v>0</v>
      </c>
      <c r="F42" s="188">
        <v>0</v>
      </c>
      <c r="G42" s="188">
        <v>25000</v>
      </c>
      <c r="H42" s="188">
        <v>25620</v>
      </c>
      <c r="I42" s="163">
        <v>26252.400000000001</v>
      </c>
    </row>
    <row r="43" spans="1:9" s="191" customFormat="1" x14ac:dyDescent="0.25">
      <c r="A43" s="145"/>
      <c r="B43" s="146"/>
      <c r="C43" s="529" t="s">
        <v>66</v>
      </c>
      <c r="D43" s="148" t="s">
        <v>67</v>
      </c>
      <c r="E43" s="149">
        <f t="shared" ref="E43:I43" si="19">E17+E28+E37</f>
        <v>0</v>
      </c>
      <c r="F43" s="149">
        <f t="shared" si="19"/>
        <v>0</v>
      </c>
      <c r="G43" s="149">
        <f>G17+G28+G37</f>
        <v>3805116.33</v>
      </c>
      <c r="H43" s="149">
        <f t="shared" si="19"/>
        <v>3851740.33</v>
      </c>
      <c r="I43" s="149">
        <f t="shared" si="19"/>
        <v>3883588.81</v>
      </c>
    </row>
    <row r="44" spans="1:9" s="191" customFormat="1" x14ac:dyDescent="0.25">
      <c r="A44" s="145"/>
      <c r="B44" s="146"/>
      <c r="C44" s="523" t="s">
        <v>86</v>
      </c>
      <c r="D44" s="524" t="s">
        <v>716</v>
      </c>
      <c r="E44" s="149"/>
      <c r="F44" s="149"/>
      <c r="G44" s="149">
        <f>G43</f>
        <v>3805116.33</v>
      </c>
      <c r="H44" s="149">
        <f>H43</f>
        <v>3851740.33</v>
      </c>
      <c r="I44" s="149">
        <f>I43</f>
        <v>3883588.81</v>
      </c>
    </row>
    <row r="45" spans="1:9" s="150" customFormat="1" x14ac:dyDescent="0.25">
      <c r="A45" s="145"/>
      <c r="B45" s="165">
        <v>64</v>
      </c>
      <c r="C45" s="166"/>
      <c r="D45" s="167" t="s">
        <v>42</v>
      </c>
      <c r="E45" s="168">
        <f t="shared" ref="E45:F45" si="20">SUM(E46)</f>
        <v>0</v>
      </c>
      <c r="F45" s="168">
        <f t="shared" si="20"/>
        <v>0</v>
      </c>
      <c r="G45" s="168">
        <f>SUM(G46)</f>
        <v>100000</v>
      </c>
      <c r="H45" s="168">
        <f>SUM(H46)</f>
        <v>102000</v>
      </c>
      <c r="I45" s="168">
        <f>SUM(I46)</f>
        <v>104040</v>
      </c>
    </row>
    <row r="46" spans="1:9" s="150" customFormat="1" x14ac:dyDescent="0.25">
      <c r="A46" s="145"/>
      <c r="B46" s="169">
        <v>641</v>
      </c>
      <c r="C46" s="170"/>
      <c r="D46" s="154" t="s">
        <v>43</v>
      </c>
      <c r="E46" s="155">
        <f>SUM(E47:E47)</f>
        <v>0</v>
      </c>
      <c r="F46" s="155">
        <f t="shared" ref="F46:I46" si="21">SUM(F47:F47)</f>
        <v>0</v>
      </c>
      <c r="G46" s="155">
        <f t="shared" si="21"/>
        <v>100000</v>
      </c>
      <c r="H46" s="155">
        <f t="shared" si="21"/>
        <v>102000</v>
      </c>
      <c r="I46" s="155">
        <f t="shared" si="21"/>
        <v>104040</v>
      </c>
    </row>
    <row r="47" spans="1:9" s="150" customFormat="1" x14ac:dyDescent="0.25">
      <c r="A47" s="145"/>
      <c r="B47" s="169">
        <v>6419</v>
      </c>
      <c r="C47" s="170"/>
      <c r="D47" s="154" t="s">
        <v>44</v>
      </c>
      <c r="E47" s="155">
        <f>E48</f>
        <v>0</v>
      </c>
      <c r="F47" s="155">
        <f t="shared" ref="F47:I47" si="22">F48</f>
        <v>0</v>
      </c>
      <c r="G47" s="155">
        <f t="shared" si="22"/>
        <v>100000</v>
      </c>
      <c r="H47" s="155">
        <f t="shared" si="22"/>
        <v>102000</v>
      </c>
      <c r="I47" s="155">
        <f t="shared" si="22"/>
        <v>104040</v>
      </c>
    </row>
    <row r="48" spans="1:9" s="191" customFormat="1" x14ac:dyDescent="0.25">
      <c r="A48" s="510"/>
      <c r="B48" s="184">
        <v>64199</v>
      </c>
      <c r="C48" s="511"/>
      <c r="D48" s="185" t="s">
        <v>44</v>
      </c>
      <c r="E48" s="163"/>
      <c r="F48" s="163"/>
      <c r="G48" s="163">
        <v>100000</v>
      </c>
      <c r="H48" s="163">
        <v>102000</v>
      </c>
      <c r="I48" s="163">
        <v>104040</v>
      </c>
    </row>
    <row r="49" spans="1:9" s="118" customFormat="1" ht="31.5" x14ac:dyDescent="0.25">
      <c r="A49" s="151"/>
      <c r="B49" s="171">
        <v>65</v>
      </c>
      <c r="C49" s="172"/>
      <c r="D49" s="173" t="s">
        <v>723</v>
      </c>
      <c r="E49" s="136">
        <f t="shared" ref="E49:I50" si="23">SUM(E50)</f>
        <v>0</v>
      </c>
      <c r="F49" s="136">
        <f t="shared" si="23"/>
        <v>0</v>
      </c>
      <c r="G49" s="136">
        <f t="shared" si="23"/>
        <v>932300</v>
      </c>
      <c r="H49" s="136">
        <f t="shared" si="23"/>
        <v>960895</v>
      </c>
      <c r="I49" s="136">
        <f t="shared" si="23"/>
        <v>971559.4</v>
      </c>
    </row>
    <row r="50" spans="1:9" s="118" customFormat="1" x14ac:dyDescent="0.25">
      <c r="A50" s="151"/>
      <c r="B50" s="174">
        <v>652</v>
      </c>
      <c r="C50" s="175"/>
      <c r="D50" s="176" t="s">
        <v>46</v>
      </c>
      <c r="E50" s="159">
        <f t="shared" si="23"/>
        <v>0</v>
      </c>
      <c r="F50" s="159">
        <f t="shared" si="23"/>
        <v>0</v>
      </c>
      <c r="G50" s="159">
        <f t="shared" si="23"/>
        <v>932300</v>
      </c>
      <c r="H50" s="159">
        <f t="shared" si="23"/>
        <v>960895</v>
      </c>
      <c r="I50" s="159">
        <f t="shared" si="23"/>
        <v>971559.4</v>
      </c>
    </row>
    <row r="51" spans="1:9" s="118" customFormat="1" x14ac:dyDescent="0.25">
      <c r="A51" s="151"/>
      <c r="B51" s="174">
        <v>6526</v>
      </c>
      <c r="C51" s="175"/>
      <c r="D51" s="176" t="s">
        <v>47</v>
      </c>
      <c r="E51" s="159">
        <f>SUM(E52:E54)</f>
        <v>0</v>
      </c>
      <c r="F51" s="159">
        <f>SUM(F52:F54)</f>
        <v>0</v>
      </c>
      <c r="G51" s="159">
        <f>SUM(G52:G54)</f>
        <v>932300</v>
      </c>
      <c r="H51" s="159">
        <f>SUM(H52:H54)</f>
        <v>960895</v>
      </c>
      <c r="I51" s="159">
        <f>SUM(I52:I54)</f>
        <v>971559.4</v>
      </c>
    </row>
    <row r="52" spans="1:9" s="118" customFormat="1" x14ac:dyDescent="0.25">
      <c r="A52" s="151"/>
      <c r="B52" s="177">
        <v>65264</v>
      </c>
      <c r="C52" s="178"/>
      <c r="D52" s="179" t="s">
        <v>472</v>
      </c>
      <c r="E52" s="163">
        <v>0</v>
      </c>
      <c r="F52" s="163">
        <v>0</v>
      </c>
      <c r="G52" s="163">
        <f>497800+55000+350000</f>
        <v>902800</v>
      </c>
      <c r="H52" s="162">
        <f>515000+57500+356520</f>
        <v>929020</v>
      </c>
      <c r="I52" s="162">
        <f>515000+60000+363190.4</f>
        <v>938190.4</v>
      </c>
    </row>
    <row r="53" spans="1:9" s="118" customFormat="1" x14ac:dyDescent="0.25">
      <c r="A53" s="151"/>
      <c r="B53" s="177">
        <v>65267</v>
      </c>
      <c r="C53" s="178"/>
      <c r="D53" s="179" t="s">
        <v>473</v>
      </c>
      <c r="E53" s="163"/>
      <c r="F53" s="163"/>
      <c r="G53" s="163">
        <v>1000</v>
      </c>
      <c r="H53" s="162">
        <v>1000</v>
      </c>
      <c r="I53" s="162">
        <v>1000</v>
      </c>
    </row>
    <row r="54" spans="1:9" s="131" customFormat="1" x14ac:dyDescent="0.25">
      <c r="A54" s="132"/>
      <c r="B54" s="177">
        <v>65269</v>
      </c>
      <c r="C54" s="178"/>
      <c r="D54" s="179" t="s">
        <v>474</v>
      </c>
      <c r="E54" s="162">
        <v>0</v>
      </c>
      <c r="F54" s="162">
        <v>0</v>
      </c>
      <c r="G54" s="162">
        <f>25000+3500</f>
        <v>28500</v>
      </c>
      <c r="H54" s="162">
        <f>26000+4875</f>
        <v>30875</v>
      </c>
      <c r="I54" s="163">
        <f>27000+5369</f>
        <v>32369</v>
      </c>
    </row>
    <row r="55" spans="1:9" s="131" customFormat="1" ht="31.5" x14ac:dyDescent="0.25">
      <c r="A55" s="132"/>
      <c r="B55" s="133">
        <v>67</v>
      </c>
      <c r="C55" s="134"/>
      <c r="D55" s="135" t="s">
        <v>8</v>
      </c>
      <c r="E55" s="136">
        <f t="shared" ref="E55" si="24">SUM(E56,E59)</f>
        <v>0</v>
      </c>
      <c r="F55" s="136">
        <f t="shared" ref="F55:I55" si="25">SUM(F56,F59)</f>
        <v>0</v>
      </c>
      <c r="G55" s="136">
        <f t="shared" si="25"/>
        <v>20119749.899999999</v>
      </c>
      <c r="H55" s="136">
        <f t="shared" si="25"/>
        <v>20847031.350000001</v>
      </c>
      <c r="I55" s="136">
        <f t="shared" si="25"/>
        <v>21326580.800000001</v>
      </c>
    </row>
    <row r="56" spans="1:9" s="131" customFormat="1" ht="31.5" hidden="1" x14ac:dyDescent="0.25">
      <c r="A56" s="132"/>
      <c r="B56" s="137" t="s">
        <v>9</v>
      </c>
      <c r="C56" s="138"/>
      <c r="D56" s="139" t="s">
        <v>10</v>
      </c>
      <c r="E56" s="140">
        <f t="shared" ref="E56" si="26">SUM(E57:E58)</f>
        <v>0</v>
      </c>
      <c r="F56" s="140">
        <f t="shared" ref="F56:I56" si="27">SUM(F57:F58)</f>
        <v>0</v>
      </c>
      <c r="G56" s="140">
        <f t="shared" si="27"/>
        <v>0</v>
      </c>
      <c r="H56" s="140">
        <f t="shared" si="27"/>
        <v>0</v>
      </c>
      <c r="I56" s="140">
        <f t="shared" si="27"/>
        <v>0</v>
      </c>
    </row>
    <row r="57" spans="1:9" s="131" customFormat="1" hidden="1" x14ac:dyDescent="0.25">
      <c r="A57" s="132"/>
      <c r="B57" s="141" t="s">
        <v>11</v>
      </c>
      <c r="C57" s="142"/>
      <c r="D57" s="143" t="s">
        <v>12</v>
      </c>
      <c r="E57" s="144">
        <v>0</v>
      </c>
      <c r="F57" s="144">
        <v>0</v>
      </c>
      <c r="G57" s="144">
        <v>0</v>
      </c>
      <c r="H57" s="144">
        <v>0</v>
      </c>
      <c r="I57" s="144">
        <v>0</v>
      </c>
    </row>
    <row r="58" spans="1:9" s="131" customFormat="1" hidden="1" x14ac:dyDescent="0.25">
      <c r="A58" s="132"/>
      <c r="B58" s="141" t="s">
        <v>13</v>
      </c>
      <c r="C58" s="142"/>
      <c r="D58" s="143" t="s">
        <v>14</v>
      </c>
      <c r="E58" s="144">
        <v>0</v>
      </c>
      <c r="F58" s="144">
        <v>0</v>
      </c>
      <c r="G58" s="144">
        <v>0</v>
      </c>
      <c r="H58" s="144">
        <v>0</v>
      </c>
      <c r="I58" s="144">
        <v>0</v>
      </c>
    </row>
    <row r="59" spans="1:9" s="131" customFormat="1" x14ac:dyDescent="0.25">
      <c r="A59" s="132"/>
      <c r="B59" s="156" t="s">
        <v>48</v>
      </c>
      <c r="C59" s="157"/>
      <c r="D59" s="158" t="s">
        <v>49</v>
      </c>
      <c r="E59" s="159">
        <f t="shared" ref="E59:I60" si="28">SUM(E60)</f>
        <v>0</v>
      </c>
      <c r="F59" s="159">
        <f t="shared" si="28"/>
        <v>0</v>
      </c>
      <c r="G59" s="159">
        <f t="shared" si="28"/>
        <v>20119749.899999999</v>
      </c>
      <c r="H59" s="159">
        <f t="shared" si="28"/>
        <v>20847031.350000001</v>
      </c>
      <c r="I59" s="159">
        <f t="shared" si="28"/>
        <v>21326580.800000001</v>
      </c>
    </row>
    <row r="60" spans="1:9" s="131" customFormat="1" x14ac:dyDescent="0.25">
      <c r="A60" s="132"/>
      <c r="B60" s="156" t="s">
        <v>50</v>
      </c>
      <c r="C60" s="157"/>
      <c r="D60" s="158" t="s">
        <v>49</v>
      </c>
      <c r="E60" s="159">
        <f t="shared" si="28"/>
        <v>0</v>
      </c>
      <c r="F60" s="159">
        <f t="shared" si="28"/>
        <v>0</v>
      </c>
      <c r="G60" s="159">
        <f t="shared" si="28"/>
        <v>20119749.899999999</v>
      </c>
      <c r="H60" s="159">
        <f t="shared" si="28"/>
        <v>20847031.350000001</v>
      </c>
      <c r="I60" s="159">
        <f t="shared" si="28"/>
        <v>21326580.800000001</v>
      </c>
    </row>
    <row r="61" spans="1:9" s="131" customFormat="1" x14ac:dyDescent="0.25">
      <c r="A61" s="132"/>
      <c r="B61" s="160" t="s">
        <v>479</v>
      </c>
      <c r="C61" s="180"/>
      <c r="D61" s="161" t="s">
        <v>49</v>
      </c>
      <c r="E61" s="162">
        <v>0</v>
      </c>
      <c r="F61" s="162">
        <v>0</v>
      </c>
      <c r="G61" s="162">
        <f>8100663+4599086.9+7420000</f>
        <v>20119749.899999999</v>
      </c>
      <c r="H61" s="162">
        <f>8141363+5137268.35+7568400</f>
        <v>20847031.350000001</v>
      </c>
      <c r="I61" s="163">
        <f>8201363+5405449.8+7719768</f>
        <v>21326580.800000001</v>
      </c>
    </row>
    <row r="62" spans="1:9" s="131" customFormat="1" x14ac:dyDescent="0.25">
      <c r="A62" s="132"/>
      <c r="B62" s="133" t="s">
        <v>51</v>
      </c>
      <c r="C62" s="134"/>
      <c r="D62" s="135" t="s">
        <v>52</v>
      </c>
      <c r="E62" s="136">
        <f t="shared" ref="E62:I64" si="29">SUM(E63)</f>
        <v>0</v>
      </c>
      <c r="F62" s="136">
        <f t="shared" si="29"/>
        <v>0</v>
      </c>
      <c r="G62" s="136">
        <f t="shared" si="29"/>
        <v>3000</v>
      </c>
      <c r="H62" s="136">
        <f t="shared" si="29"/>
        <v>3000</v>
      </c>
      <c r="I62" s="136">
        <f t="shared" si="29"/>
        <v>3000</v>
      </c>
    </row>
    <row r="63" spans="1:9" s="131" customFormat="1" x14ac:dyDescent="0.25">
      <c r="A63" s="132"/>
      <c r="B63" s="156" t="s">
        <v>53</v>
      </c>
      <c r="C63" s="157"/>
      <c r="D63" s="181" t="s">
        <v>54</v>
      </c>
      <c r="E63" s="159">
        <f t="shared" si="29"/>
        <v>0</v>
      </c>
      <c r="F63" s="159">
        <f t="shared" si="29"/>
        <v>0</v>
      </c>
      <c r="G63" s="159">
        <f t="shared" si="29"/>
        <v>3000</v>
      </c>
      <c r="H63" s="159">
        <f t="shared" si="29"/>
        <v>3000</v>
      </c>
      <c r="I63" s="159">
        <f t="shared" si="29"/>
        <v>3000</v>
      </c>
    </row>
    <row r="64" spans="1:9" s="131" customFormat="1" x14ac:dyDescent="0.25">
      <c r="A64" s="132"/>
      <c r="B64" s="156" t="s">
        <v>55</v>
      </c>
      <c r="C64" s="157"/>
      <c r="D64" s="181" t="s">
        <v>54</v>
      </c>
      <c r="E64" s="159">
        <f t="shared" si="29"/>
        <v>0</v>
      </c>
      <c r="F64" s="159">
        <f t="shared" si="29"/>
        <v>0</v>
      </c>
      <c r="G64" s="159">
        <f t="shared" si="29"/>
        <v>3000</v>
      </c>
      <c r="H64" s="159">
        <f t="shared" si="29"/>
        <v>3000</v>
      </c>
      <c r="I64" s="159">
        <f t="shared" si="29"/>
        <v>3000</v>
      </c>
    </row>
    <row r="65" spans="1:9" s="131" customFormat="1" x14ac:dyDescent="0.25">
      <c r="A65" s="132"/>
      <c r="B65" s="160" t="s">
        <v>480</v>
      </c>
      <c r="C65" s="180"/>
      <c r="D65" s="182" t="s">
        <v>54</v>
      </c>
      <c r="E65" s="162">
        <v>0</v>
      </c>
      <c r="F65" s="162">
        <v>0</v>
      </c>
      <c r="G65" s="162">
        <v>3000</v>
      </c>
      <c r="H65" s="162">
        <v>3000</v>
      </c>
      <c r="I65" s="163">
        <v>3000</v>
      </c>
    </row>
    <row r="66" spans="1:9" s="150" customFormat="1" x14ac:dyDescent="0.25">
      <c r="A66" s="145"/>
      <c r="B66" s="169"/>
      <c r="C66" s="529">
        <v>43</v>
      </c>
      <c r="D66" s="148" t="s">
        <v>56</v>
      </c>
      <c r="E66" s="149">
        <f>SUM(E45,E49,E55,E62)</f>
        <v>0</v>
      </c>
      <c r="F66" s="149">
        <f>SUM(F45,F49,F55,F62)</f>
        <v>0</v>
      </c>
      <c r="G66" s="149">
        <f>SUM(G45,G49,G55,G62)</f>
        <v>21155049.899999999</v>
      </c>
      <c r="H66" s="149">
        <f>SUM(H45,H49,H55,H62)</f>
        <v>21912926.350000001</v>
      </c>
      <c r="I66" s="149">
        <f>SUM(I45,I49,I55,I62)</f>
        <v>22405180.199999999</v>
      </c>
    </row>
    <row r="67" spans="1:9" s="150" customFormat="1" x14ac:dyDescent="0.25">
      <c r="A67" s="145"/>
      <c r="B67" s="169"/>
      <c r="C67" s="529">
        <v>4</v>
      </c>
      <c r="D67" s="148" t="s">
        <v>715</v>
      </c>
      <c r="E67" s="149"/>
      <c r="F67" s="149"/>
      <c r="G67" s="149">
        <f>G66</f>
        <v>21155049.899999999</v>
      </c>
      <c r="H67" s="149">
        <f t="shared" ref="H67:I67" si="30">H66</f>
        <v>21912926.350000001</v>
      </c>
      <c r="I67" s="149">
        <f t="shared" si="30"/>
        <v>22405180.199999999</v>
      </c>
    </row>
    <row r="68" spans="1:9" s="118" customFormat="1" x14ac:dyDescent="0.25">
      <c r="A68" s="151"/>
      <c r="B68" s="133">
        <v>63</v>
      </c>
      <c r="C68" s="134"/>
      <c r="D68" s="135" t="s">
        <v>16</v>
      </c>
      <c r="E68" s="136" t="e">
        <f>SUM(E69,E73,E76,E92,E81)</f>
        <v>#REF!</v>
      </c>
      <c r="F68" s="136" t="e">
        <f>SUM(F69,F73,F76,F92,F81)</f>
        <v>#REF!</v>
      </c>
      <c r="G68" s="136">
        <f>SUM(G69,G73,G76,G81)</f>
        <v>582814.61</v>
      </c>
      <c r="H68" s="136">
        <f t="shared" ref="H68:I68" si="31">SUM(H69,H73,H76,H81)</f>
        <v>568814.61</v>
      </c>
      <c r="I68" s="136">
        <f t="shared" si="31"/>
        <v>568814.61</v>
      </c>
    </row>
    <row r="69" spans="1:9" s="118" customFormat="1" x14ac:dyDescent="0.25">
      <c r="A69" s="151"/>
      <c r="B69" s="152" t="s">
        <v>17</v>
      </c>
      <c r="C69" s="153"/>
      <c r="D69" s="154" t="s">
        <v>18</v>
      </c>
      <c r="E69" s="155">
        <f t="shared" ref="E69:I70" si="32">E70</f>
        <v>0</v>
      </c>
      <c r="F69" s="155">
        <f t="shared" si="32"/>
        <v>0</v>
      </c>
      <c r="G69" s="155">
        <f t="shared" si="32"/>
        <v>500</v>
      </c>
      <c r="H69" s="155">
        <f t="shared" si="32"/>
        <v>500</v>
      </c>
      <c r="I69" s="155">
        <f t="shared" si="32"/>
        <v>500</v>
      </c>
    </row>
    <row r="70" spans="1:9" s="118" customFormat="1" x14ac:dyDescent="0.25">
      <c r="A70" s="132"/>
      <c r="B70" s="152" t="s">
        <v>19</v>
      </c>
      <c r="C70" s="153"/>
      <c r="D70" s="154" t="s">
        <v>20</v>
      </c>
      <c r="E70" s="155">
        <f>E71</f>
        <v>0</v>
      </c>
      <c r="F70" s="155">
        <f t="shared" si="32"/>
        <v>0</v>
      </c>
      <c r="G70" s="155">
        <f t="shared" si="32"/>
        <v>500</v>
      </c>
      <c r="H70" s="155">
        <f t="shared" si="32"/>
        <v>500</v>
      </c>
      <c r="I70" s="155">
        <f t="shared" si="32"/>
        <v>500</v>
      </c>
    </row>
    <row r="71" spans="1:9" s="118" customFormat="1" x14ac:dyDescent="0.25">
      <c r="A71" s="132"/>
      <c r="B71" s="218" t="s">
        <v>577</v>
      </c>
      <c r="C71" s="495"/>
      <c r="D71" s="185" t="s">
        <v>578</v>
      </c>
      <c r="E71" s="163">
        <v>0</v>
      </c>
      <c r="F71" s="163"/>
      <c r="G71" s="163">
        <v>500</v>
      </c>
      <c r="H71" s="163">
        <v>500</v>
      </c>
      <c r="I71" s="163">
        <v>500</v>
      </c>
    </row>
    <row r="72" spans="1:9" s="118" customFormat="1" hidden="1" x14ac:dyDescent="0.25">
      <c r="A72" s="132"/>
      <c r="B72" s="152" t="s">
        <v>21</v>
      </c>
      <c r="C72" s="153"/>
      <c r="D72" s="154" t="s">
        <v>22</v>
      </c>
      <c r="E72" s="155"/>
      <c r="F72" s="155"/>
      <c r="G72" s="155"/>
      <c r="H72" s="155"/>
      <c r="I72" s="155"/>
    </row>
    <row r="73" spans="1:9" s="131" customFormat="1" x14ac:dyDescent="0.25">
      <c r="A73" s="151"/>
      <c r="B73" s="156" t="s">
        <v>23</v>
      </c>
      <c r="C73" s="157"/>
      <c r="D73" s="158" t="s">
        <v>24</v>
      </c>
      <c r="E73" s="159">
        <f t="shared" ref="E73:I74" si="33">SUM(E74)</f>
        <v>0</v>
      </c>
      <c r="F73" s="159">
        <f t="shared" si="33"/>
        <v>0</v>
      </c>
      <c r="G73" s="159">
        <f t="shared" si="33"/>
        <v>68314.61</v>
      </c>
      <c r="H73" s="159">
        <f t="shared" si="33"/>
        <v>68314.61</v>
      </c>
      <c r="I73" s="159">
        <f t="shared" si="33"/>
        <v>68314.61</v>
      </c>
    </row>
    <row r="74" spans="1:9" s="131" customFormat="1" x14ac:dyDescent="0.25">
      <c r="A74" s="151"/>
      <c r="B74" s="156" t="s">
        <v>25</v>
      </c>
      <c r="C74" s="151"/>
      <c r="D74" s="158" t="s">
        <v>26</v>
      </c>
      <c r="E74" s="159">
        <f t="shared" si="33"/>
        <v>0</v>
      </c>
      <c r="F74" s="159">
        <f t="shared" si="33"/>
        <v>0</v>
      </c>
      <c r="G74" s="159">
        <f t="shared" si="33"/>
        <v>68314.61</v>
      </c>
      <c r="H74" s="159">
        <f t="shared" si="33"/>
        <v>68314.61</v>
      </c>
      <c r="I74" s="159">
        <f t="shared" si="33"/>
        <v>68314.61</v>
      </c>
    </row>
    <row r="75" spans="1:9" s="118" customFormat="1" x14ac:dyDescent="0.25">
      <c r="A75" s="132"/>
      <c r="B75" s="160" t="s">
        <v>477</v>
      </c>
      <c r="C75" s="132"/>
      <c r="D75" s="161" t="s">
        <v>26</v>
      </c>
      <c r="E75" s="162">
        <v>0</v>
      </c>
      <c r="F75" s="162">
        <v>0</v>
      </c>
      <c r="G75" s="162">
        <v>68314.61</v>
      </c>
      <c r="H75" s="162">
        <v>68314.61</v>
      </c>
      <c r="I75" s="163">
        <v>68314.61</v>
      </c>
    </row>
    <row r="76" spans="1:9" s="118" customFormat="1" ht="31.5" x14ac:dyDescent="0.25">
      <c r="A76" s="132"/>
      <c r="B76" s="156" t="s">
        <v>27</v>
      </c>
      <c r="C76" s="151"/>
      <c r="D76" s="158" t="s">
        <v>28</v>
      </c>
      <c r="E76" s="159">
        <f>SUM(E77,E79)</f>
        <v>0</v>
      </c>
      <c r="F76" s="159">
        <f t="shared" ref="F76:I76" si="34">SUM(F77,F79)</f>
        <v>0</v>
      </c>
      <c r="G76" s="159">
        <f t="shared" si="34"/>
        <v>14000</v>
      </c>
      <c r="H76" s="159">
        <f t="shared" si="34"/>
        <v>0</v>
      </c>
      <c r="I76" s="159">
        <f t="shared" si="34"/>
        <v>0</v>
      </c>
    </row>
    <row r="77" spans="1:9" s="118" customFormat="1" ht="31.5" x14ac:dyDescent="0.25">
      <c r="A77" s="132"/>
      <c r="B77" s="156" t="s">
        <v>29</v>
      </c>
      <c r="C77" s="151"/>
      <c r="D77" s="158" t="s">
        <v>30</v>
      </c>
      <c r="E77" s="159">
        <f t="shared" ref="E77:I77" si="35">SUM(E78)</f>
        <v>0</v>
      </c>
      <c r="F77" s="159">
        <f t="shared" si="35"/>
        <v>0</v>
      </c>
      <c r="G77" s="159">
        <f t="shared" si="35"/>
        <v>14000</v>
      </c>
      <c r="H77" s="159">
        <f t="shared" si="35"/>
        <v>0</v>
      </c>
      <c r="I77" s="159">
        <f t="shared" si="35"/>
        <v>0</v>
      </c>
    </row>
    <row r="78" spans="1:9" s="118" customFormat="1" ht="31.5" x14ac:dyDescent="0.25">
      <c r="A78" s="132"/>
      <c r="B78" s="160" t="s">
        <v>478</v>
      </c>
      <c r="C78" s="132"/>
      <c r="D78" s="161" t="s">
        <v>30</v>
      </c>
      <c r="E78" s="162">
        <v>0</v>
      </c>
      <c r="F78" s="162">
        <v>0</v>
      </c>
      <c r="G78" s="162">
        <v>14000</v>
      </c>
      <c r="H78" s="162">
        <v>0</v>
      </c>
      <c r="I78" s="163">
        <v>0</v>
      </c>
    </row>
    <row r="79" spans="1:9" s="131" customFormat="1" ht="31.5" hidden="1" x14ac:dyDescent="0.25">
      <c r="A79" s="151"/>
      <c r="B79" s="156" t="s">
        <v>579</v>
      </c>
      <c r="C79" s="151"/>
      <c r="D79" s="158" t="s">
        <v>581</v>
      </c>
      <c r="E79" s="159">
        <f>E80</f>
        <v>0</v>
      </c>
      <c r="F79" s="159">
        <f t="shared" ref="F79:I79" si="36">F80</f>
        <v>0</v>
      </c>
      <c r="G79" s="159">
        <f t="shared" si="36"/>
        <v>0</v>
      </c>
      <c r="H79" s="159">
        <f t="shared" si="36"/>
        <v>0</v>
      </c>
      <c r="I79" s="159">
        <f t="shared" si="36"/>
        <v>0</v>
      </c>
    </row>
    <row r="80" spans="1:9" s="118" customFormat="1" ht="31.5" hidden="1" x14ac:dyDescent="0.25">
      <c r="A80" s="132"/>
      <c r="B80" s="160" t="s">
        <v>580</v>
      </c>
      <c r="C80" s="132"/>
      <c r="D80" s="161" t="s">
        <v>581</v>
      </c>
      <c r="E80" s="162">
        <v>0</v>
      </c>
      <c r="F80" s="162">
        <v>0</v>
      </c>
      <c r="G80" s="162"/>
      <c r="H80" s="162"/>
      <c r="I80" s="163"/>
    </row>
    <row r="81" spans="1:9" s="118" customFormat="1" ht="15.75" customHeight="1" x14ac:dyDescent="0.25">
      <c r="A81" s="132"/>
      <c r="B81" s="156" t="s">
        <v>37</v>
      </c>
      <c r="C81" s="192"/>
      <c r="D81" s="158" t="s">
        <v>38</v>
      </c>
      <c r="E81" s="159">
        <f t="shared" ref="E81:I82" si="37">E82</f>
        <v>0</v>
      </c>
      <c r="F81" s="159">
        <f t="shared" si="37"/>
        <v>0</v>
      </c>
      <c r="G81" s="159">
        <f>G82</f>
        <v>500000</v>
      </c>
      <c r="H81" s="159">
        <f>H82</f>
        <v>500000</v>
      </c>
      <c r="I81" s="159">
        <f>I82</f>
        <v>500000</v>
      </c>
    </row>
    <row r="82" spans="1:9" s="118" customFormat="1" ht="15.75" customHeight="1" x14ac:dyDescent="0.25">
      <c r="A82" s="132"/>
      <c r="B82" s="156" t="s">
        <v>39</v>
      </c>
      <c r="C82" s="192"/>
      <c r="D82" s="158" t="s">
        <v>40</v>
      </c>
      <c r="E82" s="159">
        <f>E83</f>
        <v>0</v>
      </c>
      <c r="F82" s="159">
        <f t="shared" si="37"/>
        <v>0</v>
      </c>
      <c r="G82" s="159">
        <f t="shared" si="37"/>
        <v>500000</v>
      </c>
      <c r="H82" s="159">
        <f t="shared" si="37"/>
        <v>500000</v>
      </c>
      <c r="I82" s="159">
        <f t="shared" si="37"/>
        <v>500000</v>
      </c>
    </row>
    <row r="83" spans="1:9" s="118" customFormat="1" ht="15.75" customHeight="1" x14ac:dyDescent="0.25">
      <c r="A83" s="132"/>
      <c r="B83" s="160" t="s">
        <v>652</v>
      </c>
      <c r="C83" s="132"/>
      <c r="D83" s="161" t="s">
        <v>40</v>
      </c>
      <c r="E83" s="162"/>
      <c r="F83" s="162"/>
      <c r="G83" s="162">
        <v>500000</v>
      </c>
      <c r="H83" s="162">
        <v>500000</v>
      </c>
      <c r="I83" s="163">
        <v>500000</v>
      </c>
    </row>
    <row r="84" spans="1:9" s="118" customFormat="1" x14ac:dyDescent="0.25">
      <c r="A84" s="132"/>
      <c r="B84" s="146"/>
      <c r="C84" s="529">
        <v>52</v>
      </c>
      <c r="D84" s="148" t="s">
        <v>720</v>
      </c>
      <c r="E84" s="149" t="e">
        <f>SUM(E68)</f>
        <v>#REF!</v>
      </c>
      <c r="F84" s="149" t="e">
        <f>SUM(F68)</f>
        <v>#REF!</v>
      </c>
      <c r="G84" s="149">
        <f>SUM(G68)</f>
        <v>582814.61</v>
      </c>
      <c r="H84" s="149">
        <f>SUM(H68)</f>
        <v>568814.61</v>
      </c>
      <c r="I84" s="149">
        <f>SUM(I68)</f>
        <v>568814.61</v>
      </c>
    </row>
    <row r="85" spans="1:9" s="118" customFormat="1" x14ac:dyDescent="0.25">
      <c r="A85" s="132"/>
      <c r="B85" s="133">
        <v>63</v>
      </c>
      <c r="C85" s="134"/>
      <c r="D85" s="135" t="s">
        <v>16</v>
      </c>
      <c r="E85" s="136" t="e">
        <f>SUM(E86,E90,E93,E104,#REF!)</f>
        <v>#REF!</v>
      </c>
      <c r="F85" s="136" t="e">
        <f>SUM(F86,F90,F93,F104,#REF!)</f>
        <v>#REF!</v>
      </c>
      <c r="G85" s="136">
        <f>G86</f>
        <v>156200</v>
      </c>
      <c r="H85" s="136">
        <f t="shared" ref="H85:I85" si="38">H86</f>
        <v>159324</v>
      </c>
      <c r="I85" s="136">
        <f t="shared" si="38"/>
        <v>162510.48000000001</v>
      </c>
    </row>
    <row r="86" spans="1:9" s="118" customFormat="1" x14ac:dyDescent="0.25">
      <c r="A86" s="132"/>
      <c r="B86" s="156" t="s">
        <v>31</v>
      </c>
      <c r="C86" s="151"/>
      <c r="D86" s="158" t="s">
        <v>32</v>
      </c>
      <c r="E86" s="159" t="e">
        <f>SUM(E87,E94)</f>
        <v>#REF!</v>
      </c>
      <c r="F86" s="159" t="e">
        <f>SUM(F87,F94)</f>
        <v>#REF!</v>
      </c>
      <c r="G86" s="159">
        <f>G87</f>
        <v>156200</v>
      </c>
      <c r="H86" s="159">
        <f t="shared" ref="H86:I87" si="39">H87</f>
        <v>159324</v>
      </c>
      <c r="I86" s="159">
        <f t="shared" ref="I86" si="40">I87</f>
        <v>162510.48000000001</v>
      </c>
    </row>
    <row r="87" spans="1:9" s="118" customFormat="1" x14ac:dyDescent="0.25">
      <c r="A87" s="132"/>
      <c r="B87" s="156" t="s">
        <v>35</v>
      </c>
      <c r="C87" s="192"/>
      <c r="D87" s="158" t="s">
        <v>36</v>
      </c>
      <c r="E87" s="159" t="e">
        <f>E88+#REF!</f>
        <v>#REF!</v>
      </c>
      <c r="F87" s="159" t="e">
        <f>F88+#REF!</f>
        <v>#REF!</v>
      </c>
      <c r="G87" s="159">
        <f>G88</f>
        <v>156200</v>
      </c>
      <c r="H87" s="159">
        <f t="shared" si="39"/>
        <v>159324</v>
      </c>
      <c r="I87" s="159">
        <f t="shared" si="39"/>
        <v>162510.48000000001</v>
      </c>
    </row>
    <row r="88" spans="1:9" s="118" customFormat="1" x14ac:dyDescent="0.25">
      <c r="A88" s="132"/>
      <c r="B88" s="160" t="s">
        <v>656</v>
      </c>
      <c r="C88" s="217"/>
      <c r="D88" s="161" t="s">
        <v>657</v>
      </c>
      <c r="E88" s="162"/>
      <c r="F88" s="162"/>
      <c r="G88" s="162">
        <v>156200</v>
      </c>
      <c r="H88" s="162">
        <v>159324</v>
      </c>
      <c r="I88" s="163">
        <v>162510.48000000001</v>
      </c>
    </row>
    <row r="89" spans="1:9" s="118" customFormat="1" x14ac:dyDescent="0.25">
      <c r="A89" s="132"/>
      <c r="B89" s="146"/>
      <c r="C89" s="262" t="s">
        <v>684</v>
      </c>
      <c r="D89" s="263" t="s">
        <v>708</v>
      </c>
      <c r="E89" s="149"/>
      <c r="F89" s="149"/>
      <c r="G89" s="149">
        <f>G85</f>
        <v>156200</v>
      </c>
      <c r="H89" s="149">
        <f t="shared" ref="H89:I89" si="41">H85</f>
        <v>159324</v>
      </c>
      <c r="I89" s="149">
        <f t="shared" si="41"/>
        <v>162510.48000000001</v>
      </c>
    </row>
    <row r="90" spans="1:9" s="118" customFormat="1" x14ac:dyDescent="0.25">
      <c r="A90" s="132"/>
      <c r="B90" s="146"/>
      <c r="C90" s="262" t="s">
        <v>702</v>
      </c>
      <c r="D90" s="263" t="s">
        <v>703</v>
      </c>
      <c r="E90" s="149"/>
      <c r="F90" s="149"/>
      <c r="G90" s="149">
        <f>G89</f>
        <v>156200</v>
      </c>
      <c r="H90" s="149">
        <f t="shared" ref="H90:I90" si="42">H89</f>
        <v>159324</v>
      </c>
      <c r="I90" s="149">
        <f t="shared" si="42"/>
        <v>162510.48000000001</v>
      </c>
    </row>
    <row r="91" spans="1:9" s="118" customFormat="1" x14ac:dyDescent="0.25">
      <c r="A91" s="132"/>
      <c r="B91" s="133">
        <v>63</v>
      </c>
      <c r="C91" s="134"/>
      <c r="D91" s="135" t="s">
        <v>16</v>
      </c>
      <c r="E91" s="136" t="e">
        <f>SUM(E92,E96,#REF!,E111,E99)</f>
        <v>#REF!</v>
      </c>
      <c r="F91" s="136" t="e">
        <f>SUM(F92,F96,#REF!,F111,F99)</f>
        <v>#REF!</v>
      </c>
      <c r="G91" s="136">
        <f>G92</f>
        <v>437409.22</v>
      </c>
      <c r="H91" s="136">
        <f t="shared" ref="H91:I92" si="43">H92</f>
        <v>319785.88</v>
      </c>
      <c r="I91" s="136">
        <f t="shared" si="43"/>
        <v>262923.40000000002</v>
      </c>
    </row>
    <row r="92" spans="1:9" s="118" customFormat="1" x14ac:dyDescent="0.25">
      <c r="A92" s="132"/>
      <c r="B92" s="156" t="s">
        <v>31</v>
      </c>
      <c r="C92" s="151"/>
      <c r="D92" s="158" t="s">
        <v>32</v>
      </c>
      <c r="E92" s="159" t="e">
        <f>SUM(E93,#REF!)</f>
        <v>#REF!</v>
      </c>
      <c r="F92" s="159" t="e">
        <f>SUM(F93,#REF!)</f>
        <v>#REF!</v>
      </c>
      <c r="G92" s="159">
        <f>G93</f>
        <v>437409.22</v>
      </c>
      <c r="H92" s="159">
        <f t="shared" si="43"/>
        <v>319785.88</v>
      </c>
      <c r="I92" s="159">
        <f t="shared" si="43"/>
        <v>262923.40000000002</v>
      </c>
    </row>
    <row r="93" spans="1:9" s="118" customFormat="1" x14ac:dyDescent="0.25">
      <c r="A93" s="132"/>
      <c r="B93" s="156" t="s">
        <v>33</v>
      </c>
      <c r="C93" s="192"/>
      <c r="D93" s="158" t="s">
        <v>34</v>
      </c>
      <c r="E93" s="159">
        <f>SUM(E94:E94)</f>
        <v>0</v>
      </c>
      <c r="F93" s="159">
        <f>SUM(F94:F94)</f>
        <v>0</v>
      </c>
      <c r="G93" s="159">
        <f>SUM(G94:G94)</f>
        <v>437409.22</v>
      </c>
      <c r="H93" s="159">
        <f>SUM(H94:H94)</f>
        <v>319785.88</v>
      </c>
      <c r="I93" s="159">
        <f>SUM(I94:I94)</f>
        <v>262923.40000000002</v>
      </c>
    </row>
    <row r="94" spans="1:9" s="118" customFormat="1" ht="15.75" customHeight="1" x14ac:dyDescent="0.25">
      <c r="A94" s="132"/>
      <c r="B94" s="160" t="s">
        <v>650</v>
      </c>
      <c r="C94" s="217"/>
      <c r="D94" s="161" t="s">
        <v>651</v>
      </c>
      <c r="E94" s="162"/>
      <c r="F94" s="162"/>
      <c r="G94" s="162">
        <f>135000+148609.22+153800</f>
        <v>437409.22</v>
      </c>
      <c r="H94" s="162">
        <f>60000+102909.88+156876</f>
        <v>319785.88</v>
      </c>
      <c r="I94" s="162">
        <f>0+102909.88+160013.52</f>
        <v>262923.40000000002</v>
      </c>
    </row>
    <row r="95" spans="1:9" s="118" customFormat="1" ht="15.75" customHeight="1" x14ac:dyDescent="0.25">
      <c r="A95" s="132"/>
      <c r="B95" s="160"/>
      <c r="C95" s="262" t="s">
        <v>686</v>
      </c>
      <c r="D95" s="263" t="s">
        <v>707</v>
      </c>
      <c r="E95" s="162"/>
      <c r="F95" s="162"/>
      <c r="G95" s="149">
        <f>G91</f>
        <v>437409.22</v>
      </c>
      <c r="H95" s="149">
        <f t="shared" ref="H95:I95" si="44">H91</f>
        <v>319785.88</v>
      </c>
      <c r="I95" s="149">
        <f t="shared" si="44"/>
        <v>262923.40000000002</v>
      </c>
    </row>
    <row r="96" spans="1:9" s="118" customFormat="1" ht="15.75" customHeight="1" x14ac:dyDescent="0.25">
      <c r="A96" s="132"/>
      <c r="B96" s="160"/>
      <c r="C96" s="262" t="s">
        <v>705</v>
      </c>
      <c r="D96" s="263" t="s">
        <v>706</v>
      </c>
      <c r="E96" s="162"/>
      <c r="F96" s="162"/>
      <c r="G96" s="149">
        <f>G95</f>
        <v>437409.22</v>
      </c>
      <c r="H96" s="149">
        <f t="shared" ref="H96:I96" si="45">H95</f>
        <v>319785.88</v>
      </c>
      <c r="I96" s="149">
        <f t="shared" si="45"/>
        <v>262923.40000000002</v>
      </c>
    </row>
    <row r="97" spans="1:9" s="118" customFormat="1" x14ac:dyDescent="0.25">
      <c r="A97" s="132"/>
      <c r="B97" s="146"/>
      <c r="C97" s="529">
        <v>5</v>
      </c>
      <c r="D97" s="263" t="s">
        <v>711</v>
      </c>
      <c r="E97" s="149"/>
      <c r="F97" s="149"/>
      <c r="G97" s="149">
        <f>G84+G90+G96</f>
        <v>1176423.83</v>
      </c>
      <c r="H97" s="149">
        <f t="shared" ref="H97:I97" si="46">H84+H90+H96</f>
        <v>1047924.49</v>
      </c>
      <c r="I97" s="149">
        <f t="shared" si="46"/>
        <v>994248.49</v>
      </c>
    </row>
    <row r="98" spans="1:9" s="118" customFormat="1" ht="31.5" x14ac:dyDescent="0.25">
      <c r="A98" s="151"/>
      <c r="B98" s="133">
        <v>66</v>
      </c>
      <c r="C98" s="134"/>
      <c r="D98" s="135" t="s">
        <v>59</v>
      </c>
      <c r="E98" s="168">
        <f t="shared" ref="E98:I98" si="47">E99</f>
        <v>0</v>
      </c>
      <c r="F98" s="168">
        <f t="shared" si="47"/>
        <v>0</v>
      </c>
      <c r="G98" s="168">
        <f t="shared" si="47"/>
        <v>2000</v>
      </c>
      <c r="H98" s="168">
        <f t="shared" si="47"/>
        <v>2220</v>
      </c>
      <c r="I98" s="168">
        <f t="shared" si="47"/>
        <v>2440.4</v>
      </c>
    </row>
    <row r="99" spans="1:9" s="193" customFormat="1" ht="31.5" x14ac:dyDescent="0.25">
      <c r="A99" s="192"/>
      <c r="B99" s="169">
        <v>663</v>
      </c>
      <c r="C99" s="170"/>
      <c r="D99" s="154" t="s">
        <v>68</v>
      </c>
      <c r="E99" s="155">
        <f t="shared" ref="E99" si="48">SUM(E100,E103)</f>
        <v>0</v>
      </c>
      <c r="F99" s="155">
        <f t="shared" ref="F99:I99" si="49">SUM(F100,F103)</f>
        <v>0</v>
      </c>
      <c r="G99" s="155">
        <f t="shared" si="49"/>
        <v>2000</v>
      </c>
      <c r="H99" s="155">
        <f t="shared" si="49"/>
        <v>2220</v>
      </c>
      <c r="I99" s="155">
        <f t="shared" si="49"/>
        <v>2440.4</v>
      </c>
    </row>
    <row r="100" spans="1:9" s="193" customFormat="1" x14ac:dyDescent="0.25">
      <c r="A100" s="192"/>
      <c r="B100" s="156" t="s">
        <v>483</v>
      </c>
      <c r="C100" s="194"/>
      <c r="D100" s="139" t="s">
        <v>69</v>
      </c>
      <c r="E100" s="155">
        <f>SUM(E101:E102)</f>
        <v>0</v>
      </c>
      <c r="F100" s="155">
        <f t="shared" ref="F100:I100" si="50">SUM(F101:F102)</f>
        <v>0</v>
      </c>
      <c r="G100" s="155">
        <f t="shared" si="50"/>
        <v>1500</v>
      </c>
      <c r="H100" s="155">
        <f t="shared" si="50"/>
        <v>1720</v>
      </c>
      <c r="I100" s="155">
        <f t="shared" si="50"/>
        <v>1940.4</v>
      </c>
    </row>
    <row r="101" spans="1:9" s="193" customFormat="1" x14ac:dyDescent="0.25">
      <c r="A101" s="217"/>
      <c r="B101" s="160" t="s">
        <v>665</v>
      </c>
      <c r="C101" s="195"/>
      <c r="D101" s="143" t="s">
        <v>668</v>
      </c>
      <c r="E101" s="163">
        <v>0</v>
      </c>
      <c r="F101" s="163">
        <v>0</v>
      </c>
      <c r="G101" s="163">
        <v>500</v>
      </c>
      <c r="H101" s="163">
        <v>520</v>
      </c>
      <c r="I101" s="163">
        <v>540.4</v>
      </c>
    </row>
    <row r="102" spans="1:9" s="193" customFormat="1" x14ac:dyDescent="0.25">
      <c r="A102" s="217"/>
      <c r="B102" s="160" t="s">
        <v>482</v>
      </c>
      <c r="C102" s="195"/>
      <c r="D102" s="143" t="s">
        <v>69</v>
      </c>
      <c r="E102" s="163">
        <v>0</v>
      </c>
      <c r="F102" s="163">
        <v>0</v>
      </c>
      <c r="G102" s="163">
        <v>1000</v>
      </c>
      <c r="H102" s="163">
        <v>1200</v>
      </c>
      <c r="I102" s="163">
        <v>1400</v>
      </c>
    </row>
    <row r="103" spans="1:9" s="130" customFormat="1" x14ac:dyDescent="0.25">
      <c r="A103" s="196"/>
      <c r="B103" s="156" t="s">
        <v>70</v>
      </c>
      <c r="C103" s="194"/>
      <c r="D103" s="139" t="s">
        <v>71</v>
      </c>
      <c r="E103" s="140">
        <f>E104</f>
        <v>0</v>
      </c>
      <c r="F103" s="140">
        <f t="shared" ref="F103:I103" si="51">F104</f>
        <v>0</v>
      </c>
      <c r="G103" s="140">
        <f t="shared" si="51"/>
        <v>500</v>
      </c>
      <c r="H103" s="140">
        <f t="shared" si="51"/>
        <v>500</v>
      </c>
      <c r="I103" s="140">
        <f t="shared" si="51"/>
        <v>500</v>
      </c>
    </row>
    <row r="104" spans="1:9" x14ac:dyDescent="0.25">
      <c r="A104" s="196"/>
      <c r="B104" s="160" t="s">
        <v>666</v>
      </c>
      <c r="C104" s="195"/>
      <c r="D104" s="143" t="s">
        <v>667</v>
      </c>
      <c r="E104" s="144">
        <v>0</v>
      </c>
      <c r="F104" s="144">
        <v>0</v>
      </c>
      <c r="G104" s="144">
        <v>500</v>
      </c>
      <c r="H104" s="144">
        <v>500</v>
      </c>
      <c r="I104" s="163">
        <v>500</v>
      </c>
    </row>
    <row r="105" spans="1:9" s="131" customFormat="1" x14ac:dyDescent="0.25">
      <c r="A105" s="151"/>
      <c r="B105" s="197"/>
      <c r="C105" s="529" t="s">
        <v>72</v>
      </c>
      <c r="D105" s="148" t="s">
        <v>73</v>
      </c>
      <c r="E105" s="149">
        <f t="shared" ref="E105" si="52">SUM(E98)</f>
        <v>0</v>
      </c>
      <c r="F105" s="149">
        <f t="shared" ref="F105:I105" si="53">SUM(F98)</f>
        <v>0</v>
      </c>
      <c r="G105" s="149">
        <f t="shared" si="53"/>
        <v>2000</v>
      </c>
      <c r="H105" s="149">
        <f t="shared" si="53"/>
        <v>2220</v>
      </c>
      <c r="I105" s="149">
        <f t="shared" si="53"/>
        <v>2440.4</v>
      </c>
    </row>
    <row r="106" spans="1:9" s="131" customFormat="1" x14ac:dyDescent="0.25">
      <c r="A106" s="151"/>
      <c r="B106" s="197"/>
      <c r="C106" s="523" t="s">
        <v>709</v>
      </c>
      <c r="D106" s="524" t="s">
        <v>710</v>
      </c>
      <c r="E106" s="149"/>
      <c r="F106" s="149"/>
      <c r="G106" s="149">
        <f>G105</f>
        <v>2000</v>
      </c>
      <c r="H106" s="149">
        <f t="shared" ref="H106:I106" si="54">H105</f>
        <v>2220</v>
      </c>
      <c r="I106" s="149">
        <f t="shared" si="54"/>
        <v>2440.4</v>
      </c>
    </row>
    <row r="107" spans="1:9" s="131" customFormat="1" ht="31.5" x14ac:dyDescent="0.25">
      <c r="A107" s="151"/>
      <c r="B107" s="171">
        <v>65</v>
      </c>
      <c r="C107" s="172"/>
      <c r="D107" s="173" t="s">
        <v>45</v>
      </c>
      <c r="E107" s="371">
        <f t="shared" ref="E107:I107" si="55">SUM(E108)</f>
        <v>0</v>
      </c>
      <c r="F107" s="371">
        <f t="shared" si="55"/>
        <v>0</v>
      </c>
      <c r="G107" s="371">
        <f t="shared" si="55"/>
        <v>10500</v>
      </c>
      <c r="H107" s="371">
        <f t="shared" si="55"/>
        <v>10775</v>
      </c>
      <c r="I107" s="371">
        <f t="shared" si="55"/>
        <v>11064</v>
      </c>
    </row>
    <row r="108" spans="1:9" s="131" customFormat="1" x14ac:dyDescent="0.25">
      <c r="A108" s="151"/>
      <c r="B108" s="174">
        <v>652</v>
      </c>
      <c r="C108" s="175"/>
      <c r="D108" s="176" t="s">
        <v>46</v>
      </c>
      <c r="E108" s="372">
        <f t="shared" ref="E108:I109" si="56">E109</f>
        <v>0</v>
      </c>
      <c r="F108" s="372">
        <f t="shared" si="56"/>
        <v>0</v>
      </c>
      <c r="G108" s="372">
        <f t="shared" si="56"/>
        <v>10500</v>
      </c>
      <c r="H108" s="372">
        <f t="shared" si="56"/>
        <v>10775</v>
      </c>
      <c r="I108" s="372">
        <f t="shared" si="56"/>
        <v>11064</v>
      </c>
    </row>
    <row r="109" spans="1:9" s="131" customFormat="1" x14ac:dyDescent="0.25">
      <c r="A109" s="151"/>
      <c r="B109" s="174">
        <v>6526</v>
      </c>
      <c r="C109" s="175"/>
      <c r="D109" s="176" t="s">
        <v>74</v>
      </c>
      <c r="E109" s="372">
        <f t="shared" si="56"/>
        <v>0</v>
      </c>
      <c r="F109" s="372">
        <f t="shared" si="56"/>
        <v>0</v>
      </c>
      <c r="G109" s="372">
        <f t="shared" si="56"/>
        <v>10500</v>
      </c>
      <c r="H109" s="372">
        <f t="shared" si="56"/>
        <v>10775</v>
      </c>
      <c r="I109" s="372">
        <f t="shared" si="56"/>
        <v>11064</v>
      </c>
    </row>
    <row r="110" spans="1:9" s="131" customFormat="1" x14ac:dyDescent="0.25">
      <c r="A110" s="151"/>
      <c r="B110" s="177">
        <v>65267</v>
      </c>
      <c r="C110" s="178"/>
      <c r="D110" s="198" t="s">
        <v>473</v>
      </c>
      <c r="E110" s="373">
        <v>0</v>
      </c>
      <c r="F110" s="373">
        <v>0</v>
      </c>
      <c r="G110" s="373">
        <v>10500</v>
      </c>
      <c r="H110" s="373">
        <v>10775</v>
      </c>
      <c r="I110" s="373">
        <v>11064</v>
      </c>
    </row>
    <row r="111" spans="1:9" s="131" customFormat="1" ht="31.5" x14ac:dyDescent="0.25">
      <c r="A111" s="151"/>
      <c r="B111" s="177"/>
      <c r="C111" s="310" t="s">
        <v>234</v>
      </c>
      <c r="D111" s="311" t="s">
        <v>713</v>
      </c>
      <c r="E111" s="149">
        <f t="shared" ref="E111:I111" si="57">SUM(E107)</f>
        <v>0</v>
      </c>
      <c r="F111" s="149">
        <f t="shared" si="57"/>
        <v>0</v>
      </c>
      <c r="G111" s="149">
        <f t="shared" si="57"/>
        <v>10500</v>
      </c>
      <c r="H111" s="149">
        <f t="shared" si="57"/>
        <v>10775</v>
      </c>
      <c r="I111" s="149">
        <f t="shared" si="57"/>
        <v>11064</v>
      </c>
    </row>
    <row r="112" spans="1:9" s="118" customFormat="1" x14ac:dyDescent="0.25">
      <c r="A112" s="199">
        <v>7</v>
      </c>
      <c r="B112" s="199"/>
      <c r="C112" s="200"/>
      <c r="D112" s="201" t="s">
        <v>75</v>
      </c>
      <c r="E112" s="366">
        <f t="shared" ref="E112" si="58">E113+E117</f>
        <v>0</v>
      </c>
      <c r="F112" s="366">
        <f t="shared" ref="F112:I112" si="59">F113+F117</f>
        <v>0</v>
      </c>
      <c r="G112" s="366">
        <f t="shared" si="59"/>
        <v>1300</v>
      </c>
      <c r="H112" s="366">
        <f t="shared" si="59"/>
        <v>0</v>
      </c>
      <c r="I112" s="366">
        <f t="shared" si="59"/>
        <v>0</v>
      </c>
    </row>
    <row r="113" spans="1:9" s="118" customFormat="1" x14ac:dyDescent="0.25">
      <c r="A113" s="151"/>
      <c r="B113" s="203">
        <v>72</v>
      </c>
      <c r="C113" s="166"/>
      <c r="D113" s="167" t="s">
        <v>76</v>
      </c>
      <c r="E113" s="367">
        <f t="shared" ref="E113:I115" si="60">E114</f>
        <v>0</v>
      </c>
      <c r="F113" s="367">
        <f t="shared" si="60"/>
        <v>0</v>
      </c>
      <c r="G113" s="367">
        <f t="shared" si="60"/>
        <v>1300</v>
      </c>
      <c r="H113" s="367">
        <f t="shared" si="60"/>
        <v>0</v>
      </c>
      <c r="I113" s="367">
        <f t="shared" si="60"/>
        <v>0</v>
      </c>
    </row>
    <row r="114" spans="1:9" s="131" customFormat="1" x14ac:dyDescent="0.25">
      <c r="A114" s="151"/>
      <c r="B114" s="192">
        <v>721</v>
      </c>
      <c r="C114" s="170"/>
      <c r="D114" s="154" t="s">
        <v>77</v>
      </c>
      <c r="E114" s="368">
        <f t="shared" si="60"/>
        <v>0</v>
      </c>
      <c r="F114" s="368">
        <f t="shared" si="60"/>
        <v>0</v>
      </c>
      <c r="G114" s="368">
        <f t="shared" si="60"/>
        <v>1300</v>
      </c>
      <c r="H114" s="368">
        <f t="shared" si="60"/>
        <v>0</v>
      </c>
      <c r="I114" s="368">
        <f t="shared" si="60"/>
        <v>0</v>
      </c>
    </row>
    <row r="115" spans="1:9" s="118" customFormat="1" x14ac:dyDescent="0.25">
      <c r="A115" s="151"/>
      <c r="B115" s="192">
        <v>7211</v>
      </c>
      <c r="C115" s="170"/>
      <c r="D115" s="154" t="s">
        <v>78</v>
      </c>
      <c r="E115" s="369">
        <f>E116</f>
        <v>0</v>
      </c>
      <c r="F115" s="369">
        <f t="shared" si="60"/>
        <v>0</v>
      </c>
      <c r="G115" s="369">
        <f t="shared" si="60"/>
        <v>1300</v>
      </c>
      <c r="H115" s="369">
        <f t="shared" si="60"/>
        <v>0</v>
      </c>
      <c r="I115" s="369">
        <f t="shared" si="60"/>
        <v>0</v>
      </c>
    </row>
    <row r="116" spans="1:9" s="118" customFormat="1" x14ac:dyDescent="0.25">
      <c r="A116" s="509"/>
      <c r="B116" s="306">
        <v>72111</v>
      </c>
      <c r="C116" s="363"/>
      <c r="D116" s="364" t="s">
        <v>655</v>
      </c>
      <c r="E116" s="365">
        <v>0</v>
      </c>
      <c r="F116" s="365">
        <v>0</v>
      </c>
      <c r="G116" s="365">
        <v>1300</v>
      </c>
      <c r="H116" s="365">
        <v>0</v>
      </c>
      <c r="I116" s="365">
        <v>0</v>
      </c>
    </row>
    <row r="117" spans="1:9" s="131" customFormat="1" hidden="1" x14ac:dyDescent="0.25">
      <c r="A117" s="204"/>
      <c r="B117" s="205">
        <v>723</v>
      </c>
      <c r="C117" s="206"/>
      <c r="D117" s="207" t="s">
        <v>79</v>
      </c>
      <c r="E117" s="370">
        <f t="shared" ref="E117:I118" si="61">E118</f>
        <v>0</v>
      </c>
      <c r="F117" s="370">
        <f t="shared" si="61"/>
        <v>0</v>
      </c>
      <c r="G117" s="370">
        <f t="shared" si="61"/>
        <v>0</v>
      </c>
      <c r="H117" s="370">
        <f t="shared" si="61"/>
        <v>0</v>
      </c>
      <c r="I117" s="370">
        <f t="shared" si="61"/>
        <v>0</v>
      </c>
    </row>
    <row r="118" spans="1:9" s="118" customFormat="1" hidden="1" x14ac:dyDescent="0.25">
      <c r="A118" s="204"/>
      <c r="B118" s="205">
        <v>7231</v>
      </c>
      <c r="C118" s="206"/>
      <c r="D118" s="207" t="s">
        <v>80</v>
      </c>
      <c r="E118" s="370">
        <f t="shared" si="61"/>
        <v>0</v>
      </c>
      <c r="F118" s="370">
        <f t="shared" si="61"/>
        <v>0</v>
      </c>
      <c r="G118" s="370">
        <f t="shared" si="61"/>
        <v>0</v>
      </c>
      <c r="H118" s="370">
        <f t="shared" si="61"/>
        <v>0</v>
      </c>
      <c r="I118" s="370">
        <f t="shared" si="61"/>
        <v>0</v>
      </c>
    </row>
    <row r="119" spans="1:9" s="118" customFormat="1" hidden="1" x14ac:dyDescent="0.25">
      <c r="A119" s="204"/>
      <c r="B119" s="306">
        <v>72313</v>
      </c>
      <c r="C119" s="363"/>
      <c r="D119" s="364" t="s">
        <v>561</v>
      </c>
      <c r="E119" s="365">
        <v>0</v>
      </c>
      <c r="F119" s="365">
        <v>0</v>
      </c>
      <c r="G119" s="365">
        <v>0</v>
      </c>
      <c r="H119" s="365">
        <v>0</v>
      </c>
      <c r="I119" s="365">
        <v>0</v>
      </c>
    </row>
    <row r="120" spans="1:9" s="118" customFormat="1" ht="31.5" x14ac:dyDescent="0.25">
      <c r="A120" s="204"/>
      <c r="B120" s="204"/>
      <c r="C120" s="310" t="s">
        <v>234</v>
      </c>
      <c r="D120" s="311" t="s">
        <v>713</v>
      </c>
      <c r="E120" s="208">
        <f t="shared" ref="E120:I120" si="62">SUM(E112)</f>
        <v>0</v>
      </c>
      <c r="F120" s="208">
        <f t="shared" si="62"/>
        <v>0</v>
      </c>
      <c r="G120" s="208">
        <f t="shared" si="62"/>
        <v>1300</v>
      </c>
      <c r="H120" s="208">
        <f t="shared" si="62"/>
        <v>0</v>
      </c>
      <c r="I120" s="208">
        <f t="shared" si="62"/>
        <v>0</v>
      </c>
    </row>
    <row r="121" spans="1:9" s="118" customFormat="1" ht="31.5" customHeight="1" thickBot="1" x14ac:dyDescent="0.3">
      <c r="A121" s="204"/>
      <c r="B121" s="204"/>
      <c r="C121" s="310" t="s">
        <v>712</v>
      </c>
      <c r="D121" s="311" t="s">
        <v>714</v>
      </c>
      <c r="E121" s="208"/>
      <c r="F121" s="208"/>
      <c r="G121" s="208">
        <f>G111+G120</f>
        <v>11800</v>
      </c>
      <c r="H121" s="208">
        <f>H111+H120</f>
        <v>10775</v>
      </c>
      <c r="I121" s="208">
        <f>I111+I120</f>
        <v>11064</v>
      </c>
    </row>
    <row r="122" spans="1:9" s="118" customFormat="1" ht="16.5" thickBot="1" x14ac:dyDescent="0.3">
      <c r="A122" s="583" t="s">
        <v>81</v>
      </c>
      <c r="B122" s="584"/>
      <c r="C122" s="584"/>
      <c r="D122" s="585"/>
      <c r="E122" s="116" t="e">
        <f>SUM(E8,E112)</f>
        <v>#REF!</v>
      </c>
      <c r="F122" s="116" t="e">
        <f>SUM(F8,F112)</f>
        <v>#REF!</v>
      </c>
      <c r="G122" s="116">
        <f>SUM(G8,G112)</f>
        <v>27400996.079999998</v>
      </c>
      <c r="H122" s="116">
        <f>SUM(H8,H112)</f>
        <v>28076192.190000001</v>
      </c>
      <c r="I122" s="116">
        <f>SUM(I8,I112)</f>
        <v>28547127.919999998</v>
      </c>
    </row>
    <row r="123" spans="1:9" s="118" customFormat="1" x14ac:dyDescent="0.25">
      <c r="A123" s="117"/>
      <c r="B123" s="117"/>
      <c r="C123" s="117"/>
      <c r="D123" s="117"/>
      <c r="E123" s="117"/>
      <c r="F123" s="117"/>
      <c r="G123" s="313"/>
      <c r="H123" s="117"/>
      <c r="I123" s="117"/>
    </row>
    <row r="124" spans="1:9" s="118" customFormat="1" x14ac:dyDescent="0.25">
      <c r="A124" s="117"/>
      <c r="B124" s="117"/>
      <c r="C124" s="117"/>
      <c r="D124" s="117"/>
      <c r="E124" s="117"/>
      <c r="F124" s="117"/>
      <c r="G124" s="313"/>
      <c r="H124" s="117"/>
      <c r="I124" s="117"/>
    </row>
    <row r="125" spans="1:9" s="118" customFormat="1" x14ac:dyDescent="0.25">
      <c r="A125" s="117"/>
      <c r="B125" s="117"/>
      <c r="C125" s="117"/>
      <c r="D125" s="117"/>
      <c r="E125" s="117"/>
      <c r="F125" s="117"/>
      <c r="G125" s="313"/>
      <c r="H125" s="117"/>
      <c r="I125" s="117"/>
    </row>
    <row r="126" spans="1:9" s="118" customFormat="1" x14ac:dyDescent="0.25">
      <c r="A126" s="117"/>
      <c r="B126" s="117"/>
      <c r="C126" s="117"/>
      <c r="D126" s="117"/>
      <c r="E126" s="117"/>
      <c r="F126" s="117"/>
      <c r="G126" s="313"/>
      <c r="H126" s="117"/>
      <c r="I126" s="117"/>
    </row>
    <row r="127" spans="1:9" s="131" customFormat="1" ht="15.75" hidden="1" customHeight="1" x14ac:dyDescent="0.25">
      <c r="A127" s="117" t="s">
        <v>82</v>
      </c>
      <c r="B127" s="117"/>
      <c r="C127" s="117"/>
      <c r="D127" s="117"/>
      <c r="E127" s="117"/>
      <c r="F127" s="117"/>
      <c r="G127" s="313"/>
      <c r="H127" s="117"/>
      <c r="I127" s="117"/>
    </row>
    <row r="128" spans="1:9" s="118" customFormat="1" ht="47.25" hidden="1" customHeight="1" x14ac:dyDescent="0.25">
      <c r="A128" s="117" t="s">
        <v>3</v>
      </c>
      <c r="B128" s="117" t="s">
        <v>4</v>
      </c>
      <c r="C128" s="117" t="s">
        <v>5</v>
      </c>
      <c r="D128" s="117" t="s">
        <v>6</v>
      </c>
      <c r="E128" s="117"/>
      <c r="F128" s="117"/>
      <c r="G128" s="313" t="s">
        <v>83</v>
      </c>
      <c r="H128" s="117" t="s">
        <v>84</v>
      </c>
      <c r="I128" s="117" t="s">
        <v>85</v>
      </c>
    </row>
    <row r="129" spans="1:9" s="118" customFormat="1" ht="15.75" hidden="1" customHeight="1" x14ac:dyDescent="0.25">
      <c r="A129" s="117">
        <v>1</v>
      </c>
      <c r="B129" s="117"/>
      <c r="C129" s="117"/>
      <c r="D129" s="117"/>
      <c r="E129" s="117"/>
      <c r="F129" s="117"/>
      <c r="G129" s="313">
        <v>2</v>
      </c>
      <c r="H129" s="117">
        <v>3</v>
      </c>
      <c r="I129" s="117">
        <v>4</v>
      </c>
    </row>
    <row r="130" spans="1:9" s="118" customFormat="1" ht="15.75" hidden="1" customHeight="1" x14ac:dyDescent="0.25">
      <c r="A130" s="117" t="s">
        <v>86</v>
      </c>
      <c r="B130" s="117"/>
      <c r="C130" s="117"/>
      <c r="D130" s="117" t="s">
        <v>87</v>
      </c>
      <c r="E130" s="117"/>
      <c r="F130" s="117"/>
      <c r="G130" s="313">
        <f>G131+G141+G174+G179+G183+G186</f>
        <v>0</v>
      </c>
      <c r="H130" s="117">
        <f>H131+H141+H174+H179+H183+H186</f>
        <v>59190450.609999992</v>
      </c>
      <c r="I130" s="117">
        <f>I131+I141+I174+I183+I186</f>
        <v>0</v>
      </c>
    </row>
    <row r="131" spans="1:9" s="118" customFormat="1" hidden="1" x14ac:dyDescent="0.25">
      <c r="A131" s="192"/>
      <c r="B131" s="133">
        <v>31</v>
      </c>
      <c r="C131" s="203"/>
      <c r="D131" s="216" t="s">
        <v>88</v>
      </c>
      <c r="E131" s="216"/>
      <c r="F131" s="216"/>
      <c r="G131" s="136">
        <f>G132+G137+G139</f>
        <v>0</v>
      </c>
      <c r="H131" s="136">
        <f>H132+H137+H139</f>
        <v>38266104.469999999</v>
      </c>
      <c r="I131" s="136">
        <f>I132+I137+I139</f>
        <v>0</v>
      </c>
    </row>
    <row r="132" spans="1:9" s="131" customFormat="1" hidden="1" x14ac:dyDescent="0.25">
      <c r="A132" s="192"/>
      <c r="B132" s="152">
        <v>311</v>
      </c>
      <c r="C132" s="217"/>
      <c r="D132" s="192" t="s">
        <v>89</v>
      </c>
      <c r="E132" s="192"/>
      <c r="F132" s="192"/>
      <c r="G132" s="155">
        <f>SUM(G133:G136)</f>
        <v>0</v>
      </c>
      <c r="H132" s="155">
        <f>SUM(H133:H136)</f>
        <v>31479072.16</v>
      </c>
      <c r="I132" s="155">
        <f>SUM(I133:I136)</f>
        <v>0</v>
      </c>
    </row>
    <row r="133" spans="1:9" s="219" customFormat="1" hidden="1" x14ac:dyDescent="0.25">
      <c r="A133" s="217"/>
      <c r="B133" s="218">
        <v>3111</v>
      </c>
      <c r="C133" s="217"/>
      <c r="D133" s="217" t="s">
        <v>90</v>
      </c>
      <c r="E133" s="217"/>
      <c r="F133" s="217"/>
      <c r="G133" s="163"/>
      <c r="H133" s="163">
        <v>26934798.879999999</v>
      </c>
      <c r="I133" s="163"/>
    </row>
    <row r="134" spans="1:9" s="219" customFormat="1" hidden="1" x14ac:dyDescent="0.25">
      <c r="A134" s="217"/>
      <c r="B134" s="218" t="s">
        <v>91</v>
      </c>
      <c r="C134" s="217"/>
      <c r="D134" s="217" t="s">
        <v>92</v>
      </c>
      <c r="E134" s="217"/>
      <c r="F134" s="217"/>
      <c r="G134" s="163"/>
      <c r="H134" s="163">
        <v>0</v>
      </c>
      <c r="I134" s="163">
        <v>0</v>
      </c>
    </row>
    <row r="135" spans="1:9" s="219" customFormat="1" hidden="1" x14ac:dyDescent="0.25">
      <c r="A135" s="217"/>
      <c r="B135" s="218" t="s">
        <v>93</v>
      </c>
      <c r="C135" s="217"/>
      <c r="D135" s="217" t="s">
        <v>94</v>
      </c>
      <c r="E135" s="217"/>
      <c r="F135" s="217"/>
      <c r="G135" s="163"/>
      <c r="H135" s="163">
        <v>2081601.57</v>
      </c>
      <c r="I135" s="163">
        <v>0</v>
      </c>
    </row>
    <row r="136" spans="1:9" s="219" customFormat="1" hidden="1" x14ac:dyDescent="0.25">
      <c r="A136" s="217"/>
      <c r="B136" s="218" t="s">
        <v>95</v>
      </c>
      <c r="C136" s="217"/>
      <c r="D136" s="217" t="s">
        <v>96</v>
      </c>
      <c r="E136" s="217"/>
      <c r="F136" s="217"/>
      <c r="G136" s="163"/>
      <c r="H136" s="163">
        <v>2462671.71</v>
      </c>
      <c r="I136" s="163">
        <v>0</v>
      </c>
    </row>
    <row r="137" spans="1:9" s="220" customFormat="1" hidden="1" x14ac:dyDescent="0.25">
      <c r="A137" s="192"/>
      <c r="B137" s="152" t="s">
        <v>97</v>
      </c>
      <c r="C137" s="192"/>
      <c r="D137" s="192" t="s">
        <v>98</v>
      </c>
      <c r="E137" s="192"/>
      <c r="F137" s="192"/>
      <c r="G137" s="155">
        <f>SUM(G138)</f>
        <v>0</v>
      </c>
      <c r="H137" s="155">
        <f>SUM(H138)</f>
        <v>1080214.8799999999</v>
      </c>
      <c r="I137" s="155">
        <f>SUM(I138)</f>
        <v>0</v>
      </c>
    </row>
    <row r="138" spans="1:9" s="219" customFormat="1" hidden="1" x14ac:dyDescent="0.25">
      <c r="A138" s="217"/>
      <c r="B138" s="218" t="s">
        <v>99</v>
      </c>
      <c r="C138" s="217"/>
      <c r="D138" s="217" t="s">
        <v>98</v>
      </c>
      <c r="E138" s="217"/>
      <c r="F138" s="217"/>
      <c r="G138" s="163"/>
      <c r="H138" s="163">
        <v>1080214.8799999999</v>
      </c>
      <c r="I138" s="163"/>
    </row>
    <row r="139" spans="1:9" s="219" customFormat="1" hidden="1" x14ac:dyDescent="0.25">
      <c r="A139" s="192"/>
      <c r="B139" s="156">
        <v>313</v>
      </c>
      <c r="C139" s="192"/>
      <c r="D139" s="192" t="s">
        <v>100</v>
      </c>
      <c r="E139" s="192"/>
      <c r="F139" s="192"/>
      <c r="G139" s="221">
        <f>SUM(G140:G140)</f>
        <v>0</v>
      </c>
      <c r="H139" s="221">
        <f>SUM(H140:H140)</f>
        <v>5706817.4299999997</v>
      </c>
      <c r="I139" s="221">
        <f>SUM(I140:I140)</f>
        <v>0</v>
      </c>
    </row>
    <row r="140" spans="1:9" s="118" customFormat="1" hidden="1" x14ac:dyDescent="0.25">
      <c r="A140" s="217"/>
      <c r="B140" s="160">
        <v>3132</v>
      </c>
      <c r="C140" s="217"/>
      <c r="D140" s="217" t="s">
        <v>101</v>
      </c>
      <c r="E140" s="217"/>
      <c r="F140" s="217"/>
      <c r="G140" s="222"/>
      <c r="H140" s="222">
        <v>5706817.4299999997</v>
      </c>
      <c r="I140" s="222"/>
    </row>
    <row r="141" spans="1:9" s="118" customFormat="1" hidden="1" x14ac:dyDescent="0.25">
      <c r="A141" s="192"/>
      <c r="B141" s="133">
        <v>32</v>
      </c>
      <c r="C141" s="203"/>
      <c r="D141" s="216" t="s">
        <v>102</v>
      </c>
      <c r="E141" s="216"/>
      <c r="F141" s="216"/>
      <c r="G141" s="136">
        <f>G142+G147+G154+G164+G166</f>
        <v>0</v>
      </c>
      <c r="H141" s="136">
        <f>H142+H147+H154+H164+H166</f>
        <v>19837046.129999999</v>
      </c>
      <c r="I141" s="136">
        <f>I142+I147+I154+I164+I166</f>
        <v>0</v>
      </c>
    </row>
    <row r="142" spans="1:9" s="118" customFormat="1" hidden="1" x14ac:dyDescent="0.25">
      <c r="A142" s="192"/>
      <c r="B142" s="152">
        <v>321</v>
      </c>
      <c r="C142" s="192"/>
      <c r="D142" s="192" t="s">
        <v>103</v>
      </c>
      <c r="E142" s="192"/>
      <c r="F142" s="192"/>
      <c r="G142" s="155">
        <f>SUM(G143:G146)</f>
        <v>0</v>
      </c>
      <c r="H142" s="155">
        <f>SUM(H143:H146)</f>
        <v>1286916.72</v>
      </c>
      <c r="I142" s="155">
        <f>SUM(I143:I146)</f>
        <v>0</v>
      </c>
    </row>
    <row r="143" spans="1:9" s="223" customFormat="1" hidden="1" x14ac:dyDescent="0.25">
      <c r="A143" s="217"/>
      <c r="B143" s="218" t="s">
        <v>104</v>
      </c>
      <c r="C143" s="217"/>
      <c r="D143" s="217" t="s">
        <v>105</v>
      </c>
      <c r="E143" s="217"/>
      <c r="F143" s="217"/>
      <c r="G143" s="163"/>
      <c r="H143" s="163">
        <v>58092.24</v>
      </c>
      <c r="I143" s="163"/>
    </row>
    <row r="144" spans="1:9" s="118" customFormat="1" hidden="1" x14ac:dyDescent="0.25">
      <c r="A144" s="217"/>
      <c r="B144" s="218" t="s">
        <v>106</v>
      </c>
      <c r="C144" s="217"/>
      <c r="D144" s="224" t="s">
        <v>107</v>
      </c>
      <c r="E144" s="224"/>
      <c r="F144" s="224"/>
      <c r="G144" s="163"/>
      <c r="H144" s="163">
        <v>1157835.7</v>
      </c>
      <c r="I144" s="163"/>
    </row>
    <row r="145" spans="1:9" s="118" customFormat="1" hidden="1" x14ac:dyDescent="0.25">
      <c r="A145" s="217"/>
      <c r="B145" s="218" t="s">
        <v>108</v>
      </c>
      <c r="C145" s="217"/>
      <c r="D145" s="224" t="s">
        <v>109</v>
      </c>
      <c r="E145" s="224"/>
      <c r="F145" s="224"/>
      <c r="G145" s="163"/>
      <c r="H145" s="163">
        <v>68599.77</v>
      </c>
      <c r="I145" s="163"/>
    </row>
    <row r="146" spans="1:9" s="118" customFormat="1" hidden="1" x14ac:dyDescent="0.25">
      <c r="A146" s="217"/>
      <c r="B146" s="218" t="s">
        <v>110</v>
      </c>
      <c r="C146" s="217"/>
      <c r="D146" s="224" t="s">
        <v>111</v>
      </c>
      <c r="E146" s="224"/>
      <c r="F146" s="224"/>
      <c r="G146" s="163"/>
      <c r="H146" s="163">
        <v>2389.0100000000002</v>
      </c>
      <c r="I146" s="163">
        <v>0</v>
      </c>
    </row>
    <row r="147" spans="1:9" s="131" customFormat="1" hidden="1" x14ac:dyDescent="0.25">
      <c r="A147" s="192"/>
      <c r="B147" s="152" t="s">
        <v>112</v>
      </c>
      <c r="C147" s="192"/>
      <c r="D147" s="226" t="s">
        <v>113</v>
      </c>
      <c r="E147" s="226"/>
      <c r="F147" s="226"/>
      <c r="G147" s="155">
        <f>SUM(G148:G153)</f>
        <v>0</v>
      </c>
      <c r="H147" s="155">
        <f>SUM(H148:H153)</f>
        <v>14671871.550000001</v>
      </c>
      <c r="I147" s="155">
        <f>SUM(I148:I153)</f>
        <v>0</v>
      </c>
    </row>
    <row r="148" spans="1:9" s="131" customFormat="1" hidden="1" x14ac:dyDescent="0.25">
      <c r="A148" s="192"/>
      <c r="B148" s="218" t="s">
        <v>114</v>
      </c>
      <c r="C148" s="192"/>
      <c r="D148" s="217" t="s">
        <v>115</v>
      </c>
      <c r="E148" s="217"/>
      <c r="F148" s="217"/>
      <c r="G148" s="163"/>
      <c r="H148" s="163">
        <v>491365.97</v>
      </c>
      <c r="I148" s="163"/>
    </row>
    <row r="149" spans="1:9" s="131" customFormat="1" hidden="1" x14ac:dyDescent="0.25">
      <c r="A149" s="192"/>
      <c r="B149" s="218" t="s">
        <v>116</v>
      </c>
      <c r="C149" s="192"/>
      <c r="D149" s="217" t="s">
        <v>117</v>
      </c>
      <c r="E149" s="217"/>
      <c r="F149" s="217"/>
      <c r="G149" s="163"/>
      <c r="H149" s="163">
        <v>11982425.029999999</v>
      </c>
      <c r="I149" s="163"/>
    </row>
    <row r="150" spans="1:9" s="131" customFormat="1" hidden="1" x14ac:dyDescent="0.25">
      <c r="A150" s="192"/>
      <c r="B150" s="218" t="s">
        <v>118</v>
      </c>
      <c r="C150" s="192"/>
      <c r="D150" s="217" t="s">
        <v>119</v>
      </c>
      <c r="E150" s="217"/>
      <c r="F150" s="217"/>
      <c r="G150" s="163"/>
      <c r="H150" s="163">
        <v>1964258.67</v>
      </c>
      <c r="I150" s="163"/>
    </row>
    <row r="151" spans="1:9" s="131" customFormat="1" hidden="1" x14ac:dyDescent="0.25">
      <c r="A151" s="192"/>
      <c r="B151" s="218" t="s">
        <v>120</v>
      </c>
      <c r="C151" s="192"/>
      <c r="D151" s="224" t="s">
        <v>121</v>
      </c>
      <c r="E151" s="224"/>
      <c r="F151" s="224"/>
      <c r="G151" s="163"/>
      <c r="H151" s="163">
        <v>150568.31</v>
      </c>
      <c r="I151" s="163"/>
    </row>
    <row r="152" spans="1:9" s="131" customFormat="1" hidden="1" x14ac:dyDescent="0.25">
      <c r="A152" s="192"/>
      <c r="B152" s="218" t="s">
        <v>122</v>
      </c>
      <c r="C152" s="192"/>
      <c r="D152" s="224" t="s">
        <v>123</v>
      </c>
      <c r="E152" s="224"/>
      <c r="F152" s="224"/>
      <c r="G152" s="163"/>
      <c r="H152" s="163">
        <v>63743.31</v>
      </c>
      <c r="I152" s="163"/>
    </row>
    <row r="153" spans="1:9" s="131" customFormat="1" hidden="1" x14ac:dyDescent="0.25">
      <c r="A153" s="192"/>
      <c r="B153" s="218" t="s">
        <v>124</v>
      </c>
      <c r="C153" s="192"/>
      <c r="D153" s="224" t="s">
        <v>125</v>
      </c>
      <c r="E153" s="224"/>
      <c r="F153" s="224"/>
      <c r="G153" s="163"/>
      <c r="H153" s="163">
        <v>19510.259999999998</v>
      </c>
      <c r="I153" s="163">
        <v>0</v>
      </c>
    </row>
    <row r="154" spans="1:9" s="131" customFormat="1" hidden="1" x14ac:dyDescent="0.25">
      <c r="A154" s="192"/>
      <c r="B154" s="152" t="s">
        <v>126</v>
      </c>
      <c r="C154" s="192"/>
      <c r="D154" s="226" t="s">
        <v>127</v>
      </c>
      <c r="E154" s="226"/>
      <c r="F154" s="226"/>
      <c r="G154" s="155">
        <f>SUM(G155:G163)</f>
        <v>0</v>
      </c>
      <c r="H154" s="155">
        <f>SUM(H155:H163)</f>
        <v>3417555.09</v>
      </c>
      <c r="I154" s="155">
        <f>SUM(I155:I163)</f>
        <v>0</v>
      </c>
    </row>
    <row r="155" spans="1:9" s="131" customFormat="1" hidden="1" x14ac:dyDescent="0.25">
      <c r="A155" s="192"/>
      <c r="B155" s="218" t="s">
        <v>128</v>
      </c>
      <c r="C155" s="192"/>
      <c r="D155" s="224" t="s">
        <v>129</v>
      </c>
      <c r="E155" s="224"/>
      <c r="F155" s="224"/>
      <c r="G155" s="163"/>
      <c r="H155" s="163">
        <v>186853.41</v>
      </c>
      <c r="I155" s="163"/>
    </row>
    <row r="156" spans="1:9" s="131" customFormat="1" hidden="1" x14ac:dyDescent="0.25">
      <c r="A156" s="192"/>
      <c r="B156" s="218" t="s">
        <v>130</v>
      </c>
      <c r="C156" s="192"/>
      <c r="D156" s="224" t="s">
        <v>131</v>
      </c>
      <c r="E156" s="224"/>
      <c r="F156" s="224"/>
      <c r="G156" s="163"/>
      <c r="H156" s="163">
        <v>307253.31</v>
      </c>
      <c r="I156" s="163"/>
    </row>
    <row r="157" spans="1:9" s="131" customFormat="1" hidden="1" x14ac:dyDescent="0.25">
      <c r="A157" s="192"/>
      <c r="B157" s="218" t="s">
        <v>132</v>
      </c>
      <c r="C157" s="192"/>
      <c r="D157" s="224" t="s">
        <v>133</v>
      </c>
      <c r="E157" s="224"/>
      <c r="F157" s="224"/>
      <c r="G157" s="163"/>
      <c r="H157" s="163">
        <v>25250.65</v>
      </c>
      <c r="I157" s="163"/>
    </row>
    <row r="158" spans="1:9" s="131" customFormat="1" hidden="1" x14ac:dyDescent="0.25">
      <c r="A158" s="192"/>
      <c r="B158" s="177" t="s">
        <v>134</v>
      </c>
      <c r="C158" s="132"/>
      <c r="D158" s="227" t="s">
        <v>135</v>
      </c>
      <c r="E158" s="227"/>
      <c r="F158" s="227"/>
      <c r="G158" s="163"/>
      <c r="H158" s="163">
        <v>772450.32</v>
      </c>
      <c r="I158" s="163"/>
    </row>
    <row r="159" spans="1:9" s="131" customFormat="1" hidden="1" x14ac:dyDescent="0.25">
      <c r="A159" s="192"/>
      <c r="B159" s="177">
        <v>3235</v>
      </c>
      <c r="C159" s="132"/>
      <c r="D159" s="227" t="s">
        <v>136</v>
      </c>
      <c r="E159" s="227"/>
      <c r="F159" s="227"/>
      <c r="G159" s="163"/>
      <c r="H159" s="163">
        <v>122502.08</v>
      </c>
      <c r="I159" s="163"/>
    </row>
    <row r="160" spans="1:9" s="131" customFormat="1" hidden="1" x14ac:dyDescent="0.25">
      <c r="A160" s="192"/>
      <c r="B160" s="177">
        <v>3236</v>
      </c>
      <c r="C160" s="132"/>
      <c r="D160" s="227" t="s">
        <v>137</v>
      </c>
      <c r="E160" s="227"/>
      <c r="F160" s="227"/>
      <c r="G160" s="163"/>
      <c r="H160" s="163">
        <v>677215.88</v>
      </c>
      <c r="I160" s="163"/>
    </row>
    <row r="161" spans="1:9" s="131" customFormat="1" hidden="1" x14ac:dyDescent="0.25">
      <c r="A161" s="192"/>
      <c r="B161" s="177">
        <v>3237</v>
      </c>
      <c r="C161" s="132"/>
      <c r="D161" s="227" t="s">
        <v>138</v>
      </c>
      <c r="E161" s="227"/>
      <c r="F161" s="227"/>
      <c r="G161" s="163"/>
      <c r="H161" s="163">
        <v>771792.81</v>
      </c>
      <c r="I161" s="163"/>
    </row>
    <row r="162" spans="1:9" s="131" customFormat="1" hidden="1" x14ac:dyDescent="0.25">
      <c r="A162" s="192"/>
      <c r="B162" s="177" t="s">
        <v>139</v>
      </c>
      <c r="C162" s="132"/>
      <c r="D162" s="227" t="s">
        <v>140</v>
      </c>
      <c r="E162" s="227"/>
      <c r="F162" s="227"/>
      <c r="G162" s="163"/>
      <c r="H162" s="163">
        <v>194855.26</v>
      </c>
      <c r="I162" s="163"/>
    </row>
    <row r="163" spans="1:9" s="118" customFormat="1" hidden="1" x14ac:dyDescent="0.25">
      <c r="A163" s="217"/>
      <c r="B163" s="177" t="s">
        <v>141</v>
      </c>
      <c r="C163" s="132"/>
      <c r="D163" s="227" t="s">
        <v>142</v>
      </c>
      <c r="E163" s="227"/>
      <c r="F163" s="227"/>
      <c r="G163" s="163"/>
      <c r="H163" s="163">
        <v>359381.37</v>
      </c>
      <c r="I163" s="163"/>
    </row>
    <row r="164" spans="1:9" s="118" customFormat="1" hidden="1" x14ac:dyDescent="0.25">
      <c r="A164" s="217"/>
      <c r="B164" s="156">
        <v>324</v>
      </c>
      <c r="C164" s="151"/>
      <c r="D164" s="158" t="s">
        <v>143</v>
      </c>
      <c r="E164" s="158"/>
      <c r="F164" s="158"/>
      <c r="G164" s="155">
        <f>SUM(G165)</f>
        <v>0</v>
      </c>
      <c r="H164" s="155">
        <f>SUM(H165)</f>
        <v>17784.86</v>
      </c>
      <c r="I164" s="155">
        <f>SUM(I165)</f>
        <v>0</v>
      </c>
    </row>
    <row r="165" spans="1:9" s="118" customFormat="1" hidden="1" x14ac:dyDescent="0.25">
      <c r="A165" s="217"/>
      <c r="B165" s="160">
        <v>3241</v>
      </c>
      <c r="C165" s="151"/>
      <c r="D165" s="161" t="s">
        <v>143</v>
      </c>
      <c r="E165" s="161"/>
      <c r="F165" s="161"/>
      <c r="G165" s="163"/>
      <c r="H165" s="163">
        <v>17784.86</v>
      </c>
      <c r="I165" s="163">
        <v>0</v>
      </c>
    </row>
    <row r="166" spans="1:9" s="118" customFormat="1" hidden="1" x14ac:dyDescent="0.25">
      <c r="A166" s="217"/>
      <c r="B166" s="174">
        <v>329</v>
      </c>
      <c r="C166" s="151"/>
      <c r="D166" s="228" t="s">
        <v>144</v>
      </c>
      <c r="E166" s="228"/>
      <c r="F166" s="228"/>
      <c r="G166" s="155">
        <f>SUM(G167:G173)</f>
        <v>0</v>
      </c>
      <c r="H166" s="155">
        <f>SUM(H167:H173)</f>
        <v>442917.91000000003</v>
      </c>
      <c r="I166" s="155">
        <f>SUM(I167:I173)</f>
        <v>0</v>
      </c>
    </row>
    <row r="167" spans="1:9" s="118" customFormat="1" ht="31.5" hidden="1" x14ac:dyDescent="0.25">
      <c r="A167" s="217"/>
      <c r="B167" s="177" t="s">
        <v>145</v>
      </c>
      <c r="C167" s="132"/>
      <c r="D167" s="161" t="s">
        <v>146</v>
      </c>
      <c r="E167" s="161"/>
      <c r="F167" s="161"/>
      <c r="G167" s="163"/>
      <c r="H167" s="163">
        <v>54577.87</v>
      </c>
      <c r="I167" s="163"/>
    </row>
    <row r="168" spans="1:9" s="118" customFormat="1" hidden="1" x14ac:dyDescent="0.25">
      <c r="A168" s="217"/>
      <c r="B168" s="177">
        <v>3292</v>
      </c>
      <c r="C168" s="132"/>
      <c r="D168" s="227" t="s">
        <v>147</v>
      </c>
      <c r="E168" s="227"/>
      <c r="F168" s="227"/>
      <c r="G168" s="163"/>
      <c r="H168" s="163">
        <v>215255.56</v>
      </c>
      <c r="I168" s="163"/>
    </row>
    <row r="169" spans="1:9" s="118" customFormat="1" hidden="1" x14ac:dyDescent="0.25">
      <c r="A169" s="217"/>
      <c r="B169" s="177">
        <v>3293</v>
      </c>
      <c r="C169" s="132"/>
      <c r="D169" s="227" t="s">
        <v>148</v>
      </c>
      <c r="E169" s="227"/>
      <c r="F169" s="227"/>
      <c r="G169" s="163"/>
      <c r="H169" s="163">
        <v>9987.5300000000007</v>
      </c>
      <c r="I169" s="163"/>
    </row>
    <row r="170" spans="1:9" s="118" customFormat="1" hidden="1" x14ac:dyDescent="0.25">
      <c r="A170" s="217"/>
      <c r="B170" s="177">
        <v>3294</v>
      </c>
      <c r="C170" s="132"/>
      <c r="D170" s="227" t="s">
        <v>149</v>
      </c>
      <c r="E170" s="227"/>
      <c r="F170" s="227"/>
      <c r="G170" s="163"/>
      <c r="H170" s="163">
        <v>17118.32</v>
      </c>
      <c r="I170" s="163"/>
    </row>
    <row r="171" spans="1:9" s="118" customFormat="1" hidden="1" x14ac:dyDescent="0.25">
      <c r="A171" s="217"/>
      <c r="B171" s="184">
        <v>3295</v>
      </c>
      <c r="C171" s="132"/>
      <c r="D171" s="229" t="s">
        <v>150</v>
      </c>
      <c r="E171" s="229"/>
      <c r="F171" s="229"/>
      <c r="G171" s="163"/>
      <c r="H171" s="163">
        <v>64098.879999999997</v>
      </c>
      <c r="I171" s="163"/>
    </row>
    <row r="172" spans="1:9" s="118" customFormat="1" hidden="1" x14ac:dyDescent="0.25">
      <c r="A172" s="217"/>
      <c r="B172" s="184">
        <v>3296</v>
      </c>
      <c r="C172" s="132"/>
      <c r="D172" s="229" t="s">
        <v>151</v>
      </c>
      <c r="E172" s="229"/>
      <c r="F172" s="229"/>
      <c r="G172" s="163"/>
      <c r="H172" s="163">
        <v>4645.3</v>
      </c>
      <c r="I172" s="163">
        <v>0</v>
      </c>
    </row>
    <row r="173" spans="1:9" s="118" customFormat="1" hidden="1" x14ac:dyDescent="0.25">
      <c r="A173" s="217"/>
      <c r="B173" s="184" t="s">
        <v>152</v>
      </c>
      <c r="C173" s="132"/>
      <c r="D173" s="229" t="s">
        <v>144</v>
      </c>
      <c r="E173" s="229"/>
      <c r="F173" s="229"/>
      <c r="G173" s="163"/>
      <c r="H173" s="163">
        <v>77234.45</v>
      </c>
      <c r="I173" s="163"/>
    </row>
    <row r="174" spans="1:9" s="118" customFormat="1" hidden="1" x14ac:dyDescent="0.25">
      <c r="A174" s="217"/>
      <c r="B174" s="133">
        <v>34</v>
      </c>
      <c r="C174" s="203"/>
      <c r="D174" s="216" t="s">
        <v>153</v>
      </c>
      <c r="E174" s="216"/>
      <c r="F174" s="216"/>
      <c r="G174" s="168">
        <f>SUM(G175)</f>
        <v>0</v>
      </c>
      <c r="H174" s="168">
        <f>SUM(H175)</f>
        <v>409928.04999999993</v>
      </c>
      <c r="I174" s="168">
        <f>SUM(I175)</f>
        <v>0</v>
      </c>
    </row>
    <row r="175" spans="1:9" s="118" customFormat="1" hidden="1" x14ac:dyDescent="0.25">
      <c r="A175" s="217"/>
      <c r="B175" s="174">
        <v>343</v>
      </c>
      <c r="C175" s="151"/>
      <c r="D175" s="228" t="s">
        <v>154</v>
      </c>
      <c r="E175" s="228"/>
      <c r="F175" s="228"/>
      <c r="G175" s="155">
        <f>SUM(G176:G178)</f>
        <v>0</v>
      </c>
      <c r="H175" s="155">
        <f>SUM(H176:H178)</f>
        <v>409928.04999999993</v>
      </c>
      <c r="I175" s="155">
        <f>SUM(I176:I177)</f>
        <v>0</v>
      </c>
    </row>
    <row r="176" spans="1:9" s="118" customFormat="1" hidden="1" x14ac:dyDescent="0.25">
      <c r="A176" s="217"/>
      <c r="B176" s="177" t="s">
        <v>155</v>
      </c>
      <c r="C176" s="132"/>
      <c r="D176" s="227" t="s">
        <v>156</v>
      </c>
      <c r="E176" s="227"/>
      <c r="F176" s="227"/>
      <c r="G176" s="163"/>
      <c r="H176" s="163">
        <v>67485.03</v>
      </c>
      <c r="I176" s="163"/>
    </row>
    <row r="177" spans="1:9" s="118" customFormat="1" hidden="1" x14ac:dyDescent="0.25">
      <c r="A177" s="217"/>
      <c r="B177" s="184">
        <v>3433</v>
      </c>
      <c r="C177" s="132"/>
      <c r="D177" s="229" t="s">
        <v>157</v>
      </c>
      <c r="E177" s="229"/>
      <c r="F177" s="229"/>
      <c r="G177" s="163"/>
      <c r="H177" s="163">
        <v>342376.66</v>
      </c>
      <c r="I177" s="163"/>
    </row>
    <row r="178" spans="1:9" s="118" customFormat="1" hidden="1" x14ac:dyDescent="0.25">
      <c r="A178" s="217"/>
      <c r="B178" s="184">
        <v>3434</v>
      </c>
      <c r="C178" s="132"/>
      <c r="D178" s="229" t="s">
        <v>158</v>
      </c>
      <c r="E178" s="229"/>
      <c r="F178" s="229"/>
      <c r="G178" s="163">
        <v>0</v>
      </c>
      <c r="H178" s="163">
        <v>66.36</v>
      </c>
      <c r="I178" s="163">
        <v>0</v>
      </c>
    </row>
    <row r="179" spans="1:9" s="118" customFormat="1" hidden="1" x14ac:dyDescent="0.25">
      <c r="A179" s="217"/>
      <c r="B179" s="165">
        <v>36</v>
      </c>
      <c r="C179" s="230"/>
      <c r="D179" s="231" t="s">
        <v>159</v>
      </c>
      <c r="E179" s="231"/>
      <c r="F179" s="231"/>
      <c r="G179" s="168">
        <f>G180</f>
        <v>0</v>
      </c>
      <c r="H179" s="168">
        <f>H180</f>
        <v>7963.37</v>
      </c>
      <c r="I179" s="168">
        <f>I180</f>
        <v>0</v>
      </c>
    </row>
    <row r="180" spans="1:9" s="118" customFormat="1" hidden="1" x14ac:dyDescent="0.25">
      <c r="A180" s="217"/>
      <c r="B180" s="169">
        <v>369</v>
      </c>
      <c r="C180" s="151"/>
      <c r="D180" s="232" t="s">
        <v>38</v>
      </c>
      <c r="E180" s="232"/>
      <c r="F180" s="232"/>
      <c r="G180" s="155">
        <f>SUM(G182,G181)</f>
        <v>0</v>
      </c>
      <c r="H180" s="155">
        <f>SUM(H182)</f>
        <v>7963.37</v>
      </c>
      <c r="I180" s="155">
        <f>SUM(I182)</f>
        <v>0</v>
      </c>
    </row>
    <row r="181" spans="1:9" s="118" customFormat="1" hidden="1" x14ac:dyDescent="0.25">
      <c r="A181" s="217"/>
      <c r="B181" s="184">
        <v>3691</v>
      </c>
      <c r="C181" s="132"/>
      <c r="D181" s="229" t="s">
        <v>160</v>
      </c>
      <c r="E181" s="229"/>
      <c r="F181" s="229"/>
      <c r="G181" s="163"/>
      <c r="H181" s="163">
        <v>0</v>
      </c>
      <c r="I181" s="163">
        <v>0</v>
      </c>
    </row>
    <row r="182" spans="1:9" s="118" customFormat="1" hidden="1" x14ac:dyDescent="0.25">
      <c r="A182" s="217"/>
      <c r="B182" s="184">
        <v>3692</v>
      </c>
      <c r="C182" s="132"/>
      <c r="D182" s="229" t="s">
        <v>161</v>
      </c>
      <c r="E182" s="229"/>
      <c r="F182" s="229"/>
      <c r="G182" s="163">
        <v>0</v>
      </c>
      <c r="H182" s="163">
        <v>7963.37</v>
      </c>
      <c r="I182" s="163">
        <v>0</v>
      </c>
    </row>
    <row r="183" spans="1:9" s="118" customFormat="1" hidden="1" x14ac:dyDescent="0.25">
      <c r="A183" s="217"/>
      <c r="B183" s="165">
        <v>37</v>
      </c>
      <c r="C183" s="230"/>
      <c r="D183" s="233" t="s">
        <v>162</v>
      </c>
      <c r="E183" s="233"/>
      <c r="F183" s="233"/>
      <c r="G183" s="168">
        <f t="shared" ref="G183:I184" si="63">SUM(G184)</f>
        <v>0</v>
      </c>
      <c r="H183" s="168">
        <f t="shared" si="63"/>
        <v>0</v>
      </c>
      <c r="I183" s="168">
        <f t="shared" si="63"/>
        <v>0</v>
      </c>
    </row>
    <row r="184" spans="1:9" s="118" customFormat="1" hidden="1" x14ac:dyDescent="0.25">
      <c r="A184" s="217"/>
      <c r="B184" s="169">
        <v>372</v>
      </c>
      <c r="C184" s="151"/>
      <c r="D184" s="234" t="s">
        <v>163</v>
      </c>
      <c r="E184" s="234"/>
      <c r="F184" s="234"/>
      <c r="G184" s="155">
        <f t="shared" si="63"/>
        <v>0</v>
      </c>
      <c r="H184" s="155">
        <f t="shared" si="63"/>
        <v>0</v>
      </c>
      <c r="I184" s="155">
        <f t="shared" si="63"/>
        <v>0</v>
      </c>
    </row>
    <row r="185" spans="1:9" s="118" customFormat="1" hidden="1" x14ac:dyDescent="0.25">
      <c r="A185" s="217"/>
      <c r="B185" s="184">
        <v>3721</v>
      </c>
      <c r="C185" s="132"/>
      <c r="D185" s="235" t="s">
        <v>164</v>
      </c>
      <c r="E185" s="235"/>
      <c r="F185" s="235"/>
      <c r="G185" s="163">
        <v>0</v>
      </c>
      <c r="H185" s="163">
        <v>0</v>
      </c>
      <c r="I185" s="163"/>
    </row>
    <row r="186" spans="1:9" s="118" customFormat="1" hidden="1" x14ac:dyDescent="0.25">
      <c r="A186" s="217"/>
      <c r="B186" s="133" t="s">
        <v>165</v>
      </c>
      <c r="C186" s="203"/>
      <c r="D186" s="216" t="s">
        <v>98</v>
      </c>
      <c r="E186" s="216"/>
      <c r="F186" s="216"/>
      <c r="G186" s="168">
        <f>G189+G187</f>
        <v>0</v>
      </c>
      <c r="H186" s="168">
        <f>H187+H189</f>
        <v>669408.59000000008</v>
      </c>
      <c r="I186" s="168">
        <f>I189+I187</f>
        <v>0</v>
      </c>
    </row>
    <row r="187" spans="1:9" s="118" customFormat="1" hidden="1" x14ac:dyDescent="0.25">
      <c r="A187" s="217"/>
      <c r="B187" s="152" t="s">
        <v>166</v>
      </c>
      <c r="C187" s="192"/>
      <c r="D187" s="236" t="s">
        <v>167</v>
      </c>
      <c r="E187" s="236"/>
      <c r="F187" s="236"/>
      <c r="G187" s="155">
        <f>G188</f>
        <v>0</v>
      </c>
      <c r="H187" s="155">
        <f>H188</f>
        <v>485.64</v>
      </c>
      <c r="I187" s="155">
        <f>I188</f>
        <v>0</v>
      </c>
    </row>
    <row r="188" spans="1:9" s="118" customFormat="1" hidden="1" x14ac:dyDescent="0.25">
      <c r="A188" s="217"/>
      <c r="B188" s="218" t="s">
        <v>168</v>
      </c>
      <c r="C188" s="217"/>
      <c r="D188" s="237" t="s">
        <v>167</v>
      </c>
      <c r="E188" s="237"/>
      <c r="F188" s="237"/>
      <c r="G188" s="163"/>
      <c r="H188" s="163">
        <v>485.64</v>
      </c>
      <c r="I188" s="163"/>
    </row>
    <row r="189" spans="1:9" s="118" customFormat="1" hidden="1" x14ac:dyDescent="0.25">
      <c r="A189" s="217"/>
      <c r="B189" s="169">
        <v>383</v>
      </c>
      <c r="C189" s="151"/>
      <c r="D189" s="232" t="s">
        <v>169</v>
      </c>
      <c r="E189" s="232"/>
      <c r="F189" s="232"/>
      <c r="G189" s="155">
        <f>SUM(G190:G193)</f>
        <v>0</v>
      </c>
      <c r="H189" s="155">
        <f>SUM(H190:H193)</f>
        <v>668922.95000000007</v>
      </c>
      <c r="I189" s="155">
        <f>SUM(I190:I193)</f>
        <v>0</v>
      </c>
    </row>
    <row r="190" spans="1:9" s="118" customFormat="1" hidden="1" x14ac:dyDescent="0.25">
      <c r="A190" s="217"/>
      <c r="B190" s="184">
        <v>3831</v>
      </c>
      <c r="C190" s="132"/>
      <c r="D190" s="229" t="s">
        <v>170</v>
      </c>
      <c r="E190" s="229"/>
      <c r="F190" s="229"/>
      <c r="G190" s="163">
        <v>0</v>
      </c>
      <c r="H190" s="163">
        <v>0</v>
      </c>
      <c r="I190" s="163">
        <v>0</v>
      </c>
    </row>
    <row r="191" spans="1:9" s="118" customFormat="1" hidden="1" x14ac:dyDescent="0.25">
      <c r="A191" s="217"/>
      <c r="B191" s="184">
        <v>3833</v>
      </c>
      <c r="C191" s="132"/>
      <c r="D191" s="229" t="s">
        <v>171</v>
      </c>
      <c r="E191" s="229"/>
      <c r="F191" s="229"/>
      <c r="G191" s="163"/>
      <c r="H191" s="163">
        <v>663614.04</v>
      </c>
      <c r="I191" s="163">
        <v>0</v>
      </c>
    </row>
    <row r="192" spans="1:9" s="118" customFormat="1" hidden="1" x14ac:dyDescent="0.25">
      <c r="A192" s="217"/>
      <c r="B192" s="184">
        <v>3834</v>
      </c>
      <c r="C192" s="132"/>
      <c r="D192" s="229" t="s">
        <v>172</v>
      </c>
      <c r="E192" s="229"/>
      <c r="F192" s="229"/>
      <c r="G192" s="163"/>
      <c r="H192" s="163">
        <v>5308.91</v>
      </c>
      <c r="I192" s="163">
        <v>0</v>
      </c>
    </row>
    <row r="193" spans="1:9" s="118" customFormat="1" hidden="1" x14ac:dyDescent="0.25">
      <c r="A193" s="217"/>
      <c r="B193" s="184">
        <v>3835</v>
      </c>
      <c r="C193" s="132"/>
      <c r="D193" s="229" t="s">
        <v>173</v>
      </c>
      <c r="E193" s="229"/>
      <c r="F193" s="229"/>
      <c r="G193" s="163"/>
      <c r="H193" s="163">
        <v>0</v>
      </c>
      <c r="I193" s="163"/>
    </row>
    <row r="194" spans="1:9" s="118" customFormat="1" hidden="1" x14ac:dyDescent="0.25">
      <c r="A194" s="238">
        <v>4</v>
      </c>
      <c r="B194" s="239"/>
      <c r="C194" s="240"/>
      <c r="D194" s="241" t="s">
        <v>174</v>
      </c>
      <c r="E194" s="241"/>
      <c r="F194" s="241"/>
      <c r="G194" s="202">
        <f>G195+G200+G212</f>
        <v>0</v>
      </c>
      <c r="H194" s="202">
        <f>H195+H200+H212</f>
        <v>272061.05</v>
      </c>
      <c r="I194" s="202">
        <f>I195+I200+I212</f>
        <v>0</v>
      </c>
    </row>
    <row r="195" spans="1:9" s="118" customFormat="1" hidden="1" x14ac:dyDescent="0.25">
      <c r="A195" s="157"/>
      <c r="B195" s="133" t="s">
        <v>175</v>
      </c>
      <c r="C195" s="203"/>
      <c r="D195" s="242" t="s">
        <v>176</v>
      </c>
      <c r="E195" s="242"/>
      <c r="F195" s="242"/>
      <c r="G195" s="168">
        <f>SUM(G198)</f>
        <v>0</v>
      </c>
      <c r="H195" s="168">
        <f>SUM(H196,H198)</f>
        <v>4645.3</v>
      </c>
      <c r="I195" s="168">
        <f>SUM(I196,I198)</f>
        <v>0</v>
      </c>
    </row>
    <row r="196" spans="1:9" s="118" customFormat="1" hidden="1" x14ac:dyDescent="0.25">
      <c r="A196" s="157"/>
      <c r="B196" s="152" t="s">
        <v>177</v>
      </c>
      <c r="C196" s="192"/>
      <c r="D196" s="243" t="s">
        <v>178</v>
      </c>
      <c r="E196" s="243"/>
      <c r="F196" s="243"/>
      <c r="G196" s="155">
        <f>SUM(G197)</f>
        <v>0</v>
      </c>
      <c r="H196" s="155">
        <f>SUM(H197)</f>
        <v>4645.3</v>
      </c>
      <c r="I196" s="155">
        <f>SUM(I197)</f>
        <v>0</v>
      </c>
    </row>
    <row r="197" spans="1:9" s="118" customFormat="1" hidden="1" x14ac:dyDescent="0.25">
      <c r="A197" s="157"/>
      <c r="B197" s="218" t="s">
        <v>179</v>
      </c>
      <c r="C197" s="217"/>
      <c r="D197" s="244" t="s">
        <v>180</v>
      </c>
      <c r="E197" s="244"/>
      <c r="F197" s="244"/>
      <c r="G197" s="163">
        <v>0</v>
      </c>
      <c r="H197" s="163">
        <v>4645.3</v>
      </c>
      <c r="I197" s="163">
        <v>0</v>
      </c>
    </row>
    <row r="198" spans="1:9" s="118" customFormat="1" hidden="1" x14ac:dyDescent="0.25">
      <c r="A198" s="157"/>
      <c r="B198" s="174">
        <v>412</v>
      </c>
      <c r="C198" s="156"/>
      <c r="D198" s="245" t="s">
        <v>181</v>
      </c>
      <c r="E198" s="245"/>
      <c r="F198" s="245"/>
      <c r="G198" s="155">
        <f>SUM(G199)</f>
        <v>0</v>
      </c>
      <c r="H198" s="155">
        <f>SUM(H199)</f>
        <v>0</v>
      </c>
      <c r="I198" s="155">
        <f>SUM(I199)</f>
        <v>0</v>
      </c>
    </row>
    <row r="199" spans="1:9" s="118" customFormat="1" hidden="1" x14ac:dyDescent="0.25">
      <c r="A199" s="180"/>
      <c r="B199" s="177">
        <v>4123</v>
      </c>
      <c r="C199" s="160"/>
      <c r="D199" s="246" t="s">
        <v>182</v>
      </c>
      <c r="E199" s="246"/>
      <c r="F199" s="246"/>
      <c r="G199" s="163">
        <v>0</v>
      </c>
      <c r="H199" s="163">
        <v>0</v>
      </c>
      <c r="I199" s="163">
        <v>0</v>
      </c>
    </row>
    <row r="200" spans="1:9" s="118" customFormat="1" hidden="1" x14ac:dyDescent="0.25">
      <c r="A200" s="217"/>
      <c r="B200" s="133">
        <v>42</v>
      </c>
      <c r="C200" s="203"/>
      <c r="D200" s="216" t="s">
        <v>183</v>
      </c>
      <c r="E200" s="216"/>
      <c r="F200" s="216"/>
      <c r="G200" s="168">
        <f>SUM(G201,G208,G210)</f>
        <v>0</v>
      </c>
      <c r="H200" s="168">
        <f>SUM(H201,H208)</f>
        <v>227532.54</v>
      </c>
      <c r="I200" s="168">
        <f>SUM(I201,I208,I210)</f>
        <v>0</v>
      </c>
    </row>
    <row r="201" spans="1:9" s="118" customFormat="1" hidden="1" x14ac:dyDescent="0.25">
      <c r="A201" s="217"/>
      <c r="B201" s="152">
        <v>422</v>
      </c>
      <c r="C201" s="217"/>
      <c r="D201" s="192" t="s">
        <v>184</v>
      </c>
      <c r="E201" s="192"/>
      <c r="F201" s="192"/>
      <c r="G201" s="155">
        <f>SUM(G202:G207)</f>
        <v>0</v>
      </c>
      <c r="H201" s="155">
        <f>SUM(H202:H207)</f>
        <v>214260.26</v>
      </c>
      <c r="I201" s="155">
        <f>SUM(I202:I207)</f>
        <v>0</v>
      </c>
    </row>
    <row r="202" spans="1:9" s="118" customFormat="1" hidden="1" x14ac:dyDescent="0.25">
      <c r="A202" s="217"/>
      <c r="B202" s="218" t="s">
        <v>185</v>
      </c>
      <c r="C202" s="217"/>
      <c r="D202" s="217" t="s">
        <v>186</v>
      </c>
      <c r="E202" s="217"/>
      <c r="F202" s="217"/>
      <c r="G202" s="163"/>
      <c r="H202" s="163">
        <v>53089.120000000003</v>
      </c>
      <c r="I202" s="163"/>
    </row>
    <row r="203" spans="1:9" s="118" customFormat="1" hidden="1" x14ac:dyDescent="0.25">
      <c r="A203" s="217"/>
      <c r="B203" s="218" t="s">
        <v>187</v>
      </c>
      <c r="C203" s="217"/>
      <c r="D203" s="217" t="s">
        <v>188</v>
      </c>
      <c r="E203" s="217"/>
      <c r="F203" s="217"/>
      <c r="G203" s="163"/>
      <c r="H203" s="163">
        <v>0</v>
      </c>
      <c r="I203" s="163">
        <v>0</v>
      </c>
    </row>
    <row r="204" spans="1:9" s="118" customFormat="1" hidden="1" x14ac:dyDescent="0.25">
      <c r="A204" s="180"/>
      <c r="B204" s="177">
        <v>4223</v>
      </c>
      <c r="C204" s="160"/>
      <c r="D204" s="246" t="s">
        <v>189</v>
      </c>
      <c r="E204" s="246"/>
      <c r="F204" s="246"/>
      <c r="G204" s="163"/>
      <c r="H204" s="163">
        <v>13272.28</v>
      </c>
      <c r="I204" s="163">
        <v>0</v>
      </c>
    </row>
    <row r="205" spans="1:9" s="118" customFormat="1" hidden="1" x14ac:dyDescent="0.25">
      <c r="A205" s="180"/>
      <c r="B205" s="177">
        <v>4224</v>
      </c>
      <c r="C205" s="160"/>
      <c r="D205" s="246" t="s">
        <v>190</v>
      </c>
      <c r="E205" s="246"/>
      <c r="F205" s="246"/>
      <c r="G205" s="163"/>
      <c r="H205" s="163">
        <v>72201.210000000006</v>
      </c>
      <c r="I205" s="163"/>
    </row>
    <row r="206" spans="1:9" s="118" customFormat="1" hidden="1" x14ac:dyDescent="0.25">
      <c r="A206" s="180"/>
      <c r="B206" s="177">
        <v>4225</v>
      </c>
      <c r="C206" s="160"/>
      <c r="D206" s="246" t="s">
        <v>191</v>
      </c>
      <c r="E206" s="246"/>
      <c r="F206" s="246"/>
      <c r="G206" s="163"/>
      <c r="H206" s="163">
        <v>71715.97</v>
      </c>
      <c r="I206" s="163">
        <v>0</v>
      </c>
    </row>
    <row r="207" spans="1:9" s="118" customFormat="1" hidden="1" x14ac:dyDescent="0.25">
      <c r="A207" s="180"/>
      <c r="B207" s="177">
        <v>4227</v>
      </c>
      <c r="C207" s="160"/>
      <c r="D207" s="246" t="s">
        <v>192</v>
      </c>
      <c r="E207" s="246"/>
      <c r="F207" s="246"/>
      <c r="G207" s="163">
        <v>0</v>
      </c>
      <c r="H207" s="163">
        <v>3981.68</v>
      </c>
      <c r="I207" s="163">
        <v>0</v>
      </c>
    </row>
    <row r="208" spans="1:9" s="131" customFormat="1" hidden="1" x14ac:dyDescent="0.25">
      <c r="A208" s="157"/>
      <c r="B208" s="174">
        <v>423</v>
      </c>
      <c r="C208" s="156"/>
      <c r="D208" s="245" t="s">
        <v>193</v>
      </c>
      <c r="E208" s="245"/>
      <c r="F208" s="245"/>
      <c r="G208" s="155">
        <f>G209</f>
        <v>0</v>
      </c>
      <c r="H208" s="155">
        <f>H209</f>
        <v>13272.28</v>
      </c>
      <c r="I208" s="155">
        <f>I209</f>
        <v>0</v>
      </c>
    </row>
    <row r="209" spans="1:9" s="118" customFormat="1" hidden="1" x14ac:dyDescent="0.25">
      <c r="A209" s="180"/>
      <c r="B209" s="177">
        <v>4231</v>
      </c>
      <c r="C209" s="160"/>
      <c r="D209" s="246" t="s">
        <v>193</v>
      </c>
      <c r="E209" s="246"/>
      <c r="F209" s="246"/>
      <c r="G209" s="163"/>
      <c r="H209" s="163">
        <v>13272.28</v>
      </c>
      <c r="I209" s="163"/>
    </row>
    <row r="210" spans="1:9" s="131" customFormat="1" hidden="1" x14ac:dyDescent="0.25">
      <c r="A210" s="157"/>
      <c r="B210" s="174">
        <v>426</v>
      </c>
      <c r="C210" s="156"/>
      <c r="D210" s="245" t="s">
        <v>194</v>
      </c>
      <c r="E210" s="245"/>
      <c r="F210" s="245"/>
      <c r="G210" s="155">
        <f>G211</f>
        <v>0</v>
      </c>
      <c r="H210" s="155">
        <f>H211</f>
        <v>0</v>
      </c>
      <c r="I210" s="155">
        <f>I211</f>
        <v>0</v>
      </c>
    </row>
    <row r="211" spans="1:9" s="118" customFormat="1" hidden="1" x14ac:dyDescent="0.25">
      <c r="A211" s="180"/>
      <c r="B211" s="177">
        <v>4262</v>
      </c>
      <c r="C211" s="160"/>
      <c r="D211" s="246" t="s">
        <v>195</v>
      </c>
      <c r="E211" s="246"/>
      <c r="F211" s="246"/>
      <c r="G211" s="163"/>
      <c r="H211" s="163">
        <v>0</v>
      </c>
      <c r="I211" s="163">
        <v>0</v>
      </c>
    </row>
    <row r="212" spans="1:9" s="118" customFormat="1" hidden="1" x14ac:dyDescent="0.25">
      <c r="A212" s="180"/>
      <c r="B212" s="133" t="s">
        <v>196</v>
      </c>
      <c r="C212" s="203"/>
      <c r="D212" s="242" t="s">
        <v>197</v>
      </c>
      <c r="E212" s="242"/>
      <c r="F212" s="242"/>
      <c r="G212" s="168">
        <f>G213+G215</f>
        <v>0</v>
      </c>
      <c r="H212" s="168">
        <f>H213</f>
        <v>39883.21</v>
      </c>
      <c r="I212" s="168">
        <f>I213</f>
        <v>0</v>
      </c>
    </row>
    <row r="213" spans="1:9" s="118" customFormat="1" hidden="1" x14ac:dyDescent="0.25">
      <c r="A213" s="180"/>
      <c r="B213" s="152" t="s">
        <v>198</v>
      </c>
      <c r="C213" s="217"/>
      <c r="D213" s="192" t="s">
        <v>199</v>
      </c>
      <c r="E213" s="192"/>
      <c r="F213" s="192"/>
      <c r="G213" s="155">
        <f>G214</f>
        <v>0</v>
      </c>
      <c r="H213" s="155">
        <f>H214</f>
        <v>39883.21</v>
      </c>
      <c r="I213" s="155">
        <f>I214</f>
        <v>0</v>
      </c>
    </row>
    <row r="214" spans="1:9" s="118" customFormat="1" hidden="1" x14ac:dyDescent="0.25">
      <c r="A214" s="180"/>
      <c r="B214" s="218" t="s">
        <v>200</v>
      </c>
      <c r="C214" s="217"/>
      <c r="D214" s="217" t="s">
        <v>199</v>
      </c>
      <c r="E214" s="217"/>
      <c r="F214" s="217"/>
      <c r="G214" s="163"/>
      <c r="H214" s="163">
        <f>21633.82+18249.39</f>
        <v>39883.21</v>
      </c>
      <c r="I214" s="163">
        <v>0</v>
      </c>
    </row>
    <row r="215" spans="1:9" s="118" customFormat="1" hidden="1" x14ac:dyDescent="0.25">
      <c r="A215" s="180"/>
      <c r="B215" s="152" t="s">
        <v>201</v>
      </c>
      <c r="C215" s="192"/>
      <c r="D215" s="192" t="s">
        <v>202</v>
      </c>
      <c r="E215" s="192"/>
      <c r="F215" s="192"/>
      <c r="G215" s="155">
        <f>G216</f>
        <v>0</v>
      </c>
      <c r="H215" s="155">
        <f>H216</f>
        <v>0</v>
      </c>
      <c r="I215" s="155">
        <f>I216</f>
        <v>0</v>
      </c>
    </row>
    <row r="216" spans="1:9" s="118" customFormat="1" hidden="1" x14ac:dyDescent="0.25">
      <c r="A216" s="180"/>
      <c r="B216" s="218" t="s">
        <v>203</v>
      </c>
      <c r="C216" s="217"/>
      <c r="D216" s="217" t="s">
        <v>204</v>
      </c>
      <c r="E216" s="217"/>
      <c r="F216" s="217"/>
      <c r="G216" s="163"/>
      <c r="H216" s="163">
        <v>0</v>
      </c>
      <c r="I216" s="163">
        <v>0</v>
      </c>
    </row>
    <row r="217" spans="1:9" s="118" customFormat="1" hidden="1" x14ac:dyDescent="0.25">
      <c r="A217" s="247"/>
      <c r="B217" s="248"/>
      <c r="C217" s="147">
        <v>43</v>
      </c>
      <c r="D217" s="148" t="s">
        <v>56</v>
      </c>
      <c r="E217" s="148"/>
      <c r="F217" s="148"/>
      <c r="G217" s="249">
        <f>G194+G130</f>
        <v>0</v>
      </c>
      <c r="H217" s="249">
        <f>H194+H130</f>
        <v>59462511.659999989</v>
      </c>
      <c r="I217" s="249">
        <f>I194+I130</f>
        <v>0</v>
      </c>
    </row>
    <row r="218" spans="1:9" s="118" customFormat="1" hidden="1" x14ac:dyDescent="0.25">
      <c r="A218" s="212" t="s">
        <v>86</v>
      </c>
      <c r="B218" s="212"/>
      <c r="C218" s="213"/>
      <c r="D218" s="214" t="s">
        <v>87</v>
      </c>
      <c r="E218" s="214"/>
      <c r="F218" s="214"/>
      <c r="G218" s="215">
        <f>G219+G229+G260+G266+G269</f>
        <v>0</v>
      </c>
      <c r="H218" s="215">
        <f>H219+H229+H266+H260+H269</f>
        <v>4824119.8499999996</v>
      </c>
      <c r="I218" s="215">
        <f>I219+I229+I260+I266+I269</f>
        <v>0</v>
      </c>
    </row>
    <row r="219" spans="1:9" s="118" customFormat="1" hidden="1" x14ac:dyDescent="0.25">
      <c r="A219" s="192"/>
      <c r="B219" s="133">
        <v>31</v>
      </c>
      <c r="C219" s="203"/>
      <c r="D219" s="216" t="s">
        <v>88</v>
      </c>
      <c r="E219" s="216"/>
      <c r="F219" s="216"/>
      <c r="G219" s="136">
        <f>G220+G225+G227</f>
        <v>0</v>
      </c>
      <c r="H219" s="136">
        <f>H220+H225+H227</f>
        <v>1554293.06</v>
      </c>
      <c r="I219" s="136">
        <f>I220+I225+I227</f>
        <v>0</v>
      </c>
    </row>
    <row r="220" spans="1:9" s="118" customFormat="1" hidden="1" x14ac:dyDescent="0.25">
      <c r="A220" s="192"/>
      <c r="B220" s="152">
        <v>311</v>
      </c>
      <c r="C220" s="217"/>
      <c r="D220" s="192" t="s">
        <v>89</v>
      </c>
      <c r="E220" s="192"/>
      <c r="F220" s="192"/>
      <c r="G220" s="155">
        <f>SUM(G221:G224)</f>
        <v>0</v>
      </c>
      <c r="H220" s="155">
        <f>SUM(H221:H224)</f>
        <v>1340372.43</v>
      </c>
      <c r="I220" s="155">
        <f>SUM(I221:I224)</f>
        <v>0</v>
      </c>
    </row>
    <row r="221" spans="1:9" s="118" customFormat="1" hidden="1" x14ac:dyDescent="0.25">
      <c r="A221" s="217"/>
      <c r="B221" s="218">
        <v>3111</v>
      </c>
      <c r="C221" s="217"/>
      <c r="D221" s="217" t="s">
        <v>90</v>
      </c>
      <c r="E221" s="217"/>
      <c r="F221" s="217"/>
      <c r="G221" s="163"/>
      <c r="H221" s="163">
        <f>1263658.65+72997.54</f>
        <v>1336656.19</v>
      </c>
      <c r="I221" s="163"/>
    </row>
    <row r="222" spans="1:9" s="131" customFormat="1" hidden="1" x14ac:dyDescent="0.25">
      <c r="A222" s="217"/>
      <c r="B222" s="218" t="s">
        <v>91</v>
      </c>
      <c r="C222" s="217"/>
      <c r="D222" s="217" t="s">
        <v>92</v>
      </c>
      <c r="E222" s="217"/>
      <c r="F222" s="217"/>
      <c r="G222" s="163">
        <v>0</v>
      </c>
      <c r="H222" s="163">
        <v>0</v>
      </c>
      <c r="I222" s="163">
        <v>0</v>
      </c>
    </row>
    <row r="223" spans="1:9" s="131" customFormat="1" hidden="1" x14ac:dyDescent="0.25">
      <c r="A223" s="217"/>
      <c r="B223" s="218" t="s">
        <v>93</v>
      </c>
      <c r="C223" s="217"/>
      <c r="D223" s="217" t="s">
        <v>94</v>
      </c>
      <c r="E223" s="217"/>
      <c r="F223" s="217"/>
      <c r="G223" s="163">
        <v>0</v>
      </c>
      <c r="H223" s="163">
        <v>0</v>
      </c>
      <c r="I223" s="163">
        <v>0</v>
      </c>
    </row>
    <row r="224" spans="1:9" s="118" customFormat="1" ht="15.75" hidden="1" customHeight="1" x14ac:dyDescent="0.25">
      <c r="A224" s="217"/>
      <c r="B224" s="218" t="s">
        <v>95</v>
      </c>
      <c r="C224" s="217"/>
      <c r="D224" s="217" t="s">
        <v>96</v>
      </c>
      <c r="E224" s="217"/>
      <c r="F224" s="217"/>
      <c r="G224" s="163"/>
      <c r="H224" s="163">
        <v>3716.24</v>
      </c>
      <c r="I224" s="163">
        <v>0</v>
      </c>
    </row>
    <row r="225" spans="1:9" s="118" customFormat="1" ht="15.75" hidden="1" customHeight="1" x14ac:dyDescent="0.25">
      <c r="A225" s="192"/>
      <c r="B225" s="152" t="s">
        <v>97</v>
      </c>
      <c r="C225" s="192"/>
      <c r="D225" s="192" t="s">
        <v>98</v>
      </c>
      <c r="E225" s="192"/>
      <c r="F225" s="192"/>
      <c r="G225" s="155">
        <f>SUM(G226)</f>
        <v>0</v>
      </c>
      <c r="H225" s="155">
        <f>SUM(H226)</f>
        <v>124709.13</v>
      </c>
      <c r="I225" s="155">
        <f>SUM(I226)</f>
        <v>0</v>
      </c>
    </row>
    <row r="226" spans="1:9" s="118" customFormat="1" ht="15.75" hidden="1" customHeight="1" x14ac:dyDescent="0.25">
      <c r="A226" s="217"/>
      <c r="B226" s="218" t="s">
        <v>99</v>
      </c>
      <c r="C226" s="217"/>
      <c r="D226" s="217" t="s">
        <v>98</v>
      </c>
      <c r="E226" s="217"/>
      <c r="F226" s="217"/>
      <c r="G226" s="163"/>
      <c r="H226" s="163">
        <f>118736.6+5972.53</f>
        <v>124709.13</v>
      </c>
      <c r="I226" s="163"/>
    </row>
    <row r="227" spans="1:9" s="131" customFormat="1" ht="15.75" hidden="1" customHeight="1" x14ac:dyDescent="0.25">
      <c r="A227" s="192"/>
      <c r="B227" s="156">
        <v>313</v>
      </c>
      <c r="C227" s="192"/>
      <c r="D227" s="192" t="s">
        <v>100</v>
      </c>
      <c r="E227" s="192"/>
      <c r="F227" s="192"/>
      <c r="G227" s="221">
        <f>SUM(G228:G228)</f>
        <v>0</v>
      </c>
      <c r="H227" s="221">
        <f>SUM(H228:H228)</f>
        <v>89211.5</v>
      </c>
      <c r="I227" s="221">
        <f>SUM(I228:I228)</f>
        <v>0</v>
      </c>
    </row>
    <row r="228" spans="1:9" s="131" customFormat="1" ht="15.75" hidden="1" customHeight="1" x14ac:dyDescent="0.25">
      <c r="A228" s="217"/>
      <c r="B228" s="160">
        <v>3132</v>
      </c>
      <c r="C228" s="217"/>
      <c r="D228" s="217" t="s">
        <v>101</v>
      </c>
      <c r="E228" s="217"/>
      <c r="F228" s="217"/>
      <c r="G228" s="222"/>
      <c r="H228" s="222">
        <f>69966.69+19244.81</f>
        <v>89211.5</v>
      </c>
      <c r="I228" s="222"/>
    </row>
    <row r="229" spans="1:9" s="131" customFormat="1" ht="17.25" hidden="1" customHeight="1" x14ac:dyDescent="0.25">
      <c r="A229" s="192"/>
      <c r="B229" s="133">
        <v>32</v>
      </c>
      <c r="C229" s="203"/>
      <c r="D229" s="216" t="s">
        <v>102</v>
      </c>
      <c r="E229" s="216"/>
      <c r="F229" s="216"/>
      <c r="G229" s="136">
        <f>G230+G235+G242+G252</f>
        <v>0</v>
      </c>
      <c r="H229" s="136">
        <f>H230+H235+H242+H252</f>
        <v>3251678.54</v>
      </c>
      <c r="I229" s="136">
        <f>I230+I235+I242+I252</f>
        <v>0</v>
      </c>
    </row>
    <row r="230" spans="1:9" s="131" customFormat="1" ht="15.75" hidden="1" customHeight="1" x14ac:dyDescent="0.25">
      <c r="A230" s="192"/>
      <c r="B230" s="152">
        <v>321</v>
      </c>
      <c r="C230" s="192"/>
      <c r="D230" s="192" t="s">
        <v>103</v>
      </c>
      <c r="E230" s="192"/>
      <c r="F230" s="192"/>
      <c r="G230" s="155">
        <f>SUM(G231:G234)</f>
        <v>0</v>
      </c>
      <c r="H230" s="155">
        <f>SUM(H231:H234)</f>
        <v>144375.34999999998</v>
      </c>
      <c r="I230" s="155">
        <f>SUM(I231:I234)</f>
        <v>0</v>
      </c>
    </row>
    <row r="231" spans="1:9" s="131" customFormat="1" ht="15.75" hidden="1" customHeight="1" x14ac:dyDescent="0.25">
      <c r="A231" s="217"/>
      <c r="B231" s="218" t="s">
        <v>104</v>
      </c>
      <c r="C231" s="217"/>
      <c r="D231" s="217" t="s">
        <v>105</v>
      </c>
      <c r="E231" s="217"/>
      <c r="F231" s="217"/>
      <c r="G231" s="163"/>
      <c r="H231" s="163">
        <v>10269.299999999999</v>
      </c>
      <c r="I231" s="163"/>
    </row>
    <row r="232" spans="1:9" s="131" customFormat="1" ht="15.75" hidden="1" customHeight="1" x14ac:dyDescent="0.25">
      <c r="A232" s="217"/>
      <c r="B232" s="218" t="s">
        <v>106</v>
      </c>
      <c r="C232" s="217"/>
      <c r="D232" s="224" t="s">
        <v>107</v>
      </c>
      <c r="E232" s="224"/>
      <c r="F232" s="224"/>
      <c r="G232" s="163"/>
      <c r="H232" s="163">
        <f>114312.43+9290.6</f>
        <v>123603.03</v>
      </c>
      <c r="I232" s="163"/>
    </row>
    <row r="233" spans="1:9" s="131" customFormat="1" ht="15.75" hidden="1" customHeight="1" x14ac:dyDescent="0.25">
      <c r="A233" s="217"/>
      <c r="B233" s="218" t="s">
        <v>108</v>
      </c>
      <c r="C233" s="217"/>
      <c r="D233" s="224" t="s">
        <v>109</v>
      </c>
      <c r="E233" s="224"/>
      <c r="F233" s="224"/>
      <c r="G233" s="163"/>
      <c r="H233" s="163">
        <v>10503.02</v>
      </c>
      <c r="I233" s="163"/>
    </row>
    <row r="234" spans="1:9" s="131" customFormat="1" ht="15.75" hidden="1" customHeight="1" x14ac:dyDescent="0.25">
      <c r="A234" s="217"/>
      <c r="B234" s="218" t="s">
        <v>110</v>
      </c>
      <c r="C234" s="217"/>
      <c r="D234" s="224" t="s">
        <v>111</v>
      </c>
      <c r="E234" s="224"/>
      <c r="F234" s="224"/>
      <c r="G234" s="163">
        <v>0</v>
      </c>
      <c r="H234" s="163">
        <v>0</v>
      </c>
      <c r="I234" s="163">
        <v>0</v>
      </c>
    </row>
    <row r="235" spans="1:9" s="131" customFormat="1" ht="15.75" hidden="1" customHeight="1" x14ac:dyDescent="0.25">
      <c r="A235" s="192"/>
      <c r="B235" s="152" t="s">
        <v>112</v>
      </c>
      <c r="C235" s="192"/>
      <c r="D235" s="226" t="s">
        <v>113</v>
      </c>
      <c r="E235" s="226"/>
      <c r="F235" s="226"/>
      <c r="G235" s="155">
        <f>SUM(G236:G241)</f>
        <v>0</v>
      </c>
      <c r="H235" s="155">
        <f>SUM(H236:H241)</f>
        <v>2761826.91</v>
      </c>
      <c r="I235" s="155">
        <f>SUM(I236:I241)</f>
        <v>0</v>
      </c>
    </row>
    <row r="236" spans="1:9" s="131" customFormat="1" ht="15.75" hidden="1" customHeight="1" x14ac:dyDescent="0.25">
      <c r="A236" s="192"/>
      <c r="B236" s="218" t="s">
        <v>114</v>
      </c>
      <c r="C236" s="192"/>
      <c r="D236" s="217" t="s">
        <v>115</v>
      </c>
      <c r="E236" s="217"/>
      <c r="F236" s="217"/>
      <c r="G236" s="163"/>
      <c r="H236" s="163">
        <f>7846.44+5308.91</f>
        <v>13155.349999999999</v>
      </c>
      <c r="I236" s="163"/>
    </row>
    <row r="237" spans="1:9" s="118" customFormat="1" ht="15.75" hidden="1" customHeight="1" x14ac:dyDescent="0.25">
      <c r="A237" s="192"/>
      <c r="B237" s="218" t="s">
        <v>116</v>
      </c>
      <c r="C237" s="192"/>
      <c r="D237" s="217" t="s">
        <v>117</v>
      </c>
      <c r="E237" s="217"/>
      <c r="F237" s="217"/>
      <c r="G237" s="163"/>
      <c r="H237" s="163">
        <f>2489044.39+19908.42</f>
        <v>2508952.81</v>
      </c>
      <c r="I237" s="163"/>
    </row>
    <row r="238" spans="1:9" s="118" customFormat="1" hidden="1" x14ac:dyDescent="0.25">
      <c r="A238" s="192"/>
      <c r="B238" s="218" t="s">
        <v>118</v>
      </c>
      <c r="C238" s="192"/>
      <c r="D238" s="217" t="s">
        <v>119</v>
      </c>
      <c r="E238" s="217"/>
      <c r="F238" s="217"/>
      <c r="G238" s="163"/>
      <c r="H238" s="163">
        <f>214555.97+4645.3</f>
        <v>219201.27</v>
      </c>
      <c r="I238" s="163"/>
    </row>
    <row r="239" spans="1:9" s="131" customFormat="1" hidden="1" x14ac:dyDescent="0.25">
      <c r="A239" s="192"/>
      <c r="B239" s="218" t="s">
        <v>120</v>
      </c>
      <c r="C239" s="192"/>
      <c r="D239" s="224" t="s">
        <v>121</v>
      </c>
      <c r="E239" s="224"/>
      <c r="F239" s="224"/>
      <c r="G239" s="163"/>
      <c r="H239" s="163">
        <f>711.79+464.53</f>
        <v>1176.32</v>
      </c>
      <c r="I239" s="163"/>
    </row>
    <row r="240" spans="1:9" s="131" customFormat="1" hidden="1" x14ac:dyDescent="0.25">
      <c r="A240" s="192"/>
      <c r="B240" s="218" t="s">
        <v>122</v>
      </c>
      <c r="C240" s="192"/>
      <c r="D240" s="224" t="s">
        <v>123</v>
      </c>
      <c r="E240" s="224"/>
      <c r="F240" s="224"/>
      <c r="G240" s="163"/>
      <c r="H240" s="163">
        <f>8059.72+1990.84</f>
        <v>10050.56</v>
      </c>
      <c r="I240" s="163"/>
    </row>
    <row r="241" spans="1:9" s="131" customFormat="1" hidden="1" x14ac:dyDescent="0.25">
      <c r="A241" s="192"/>
      <c r="B241" s="218" t="s">
        <v>124</v>
      </c>
      <c r="C241" s="192"/>
      <c r="D241" s="224" t="s">
        <v>125</v>
      </c>
      <c r="E241" s="224"/>
      <c r="F241" s="224"/>
      <c r="G241" s="163">
        <v>0</v>
      </c>
      <c r="H241" s="163">
        <v>9290.6</v>
      </c>
      <c r="I241" s="163">
        <v>0</v>
      </c>
    </row>
    <row r="242" spans="1:9" s="131" customFormat="1" hidden="1" x14ac:dyDescent="0.25">
      <c r="A242" s="192"/>
      <c r="B242" s="152" t="s">
        <v>126</v>
      </c>
      <c r="C242" s="192"/>
      <c r="D242" s="226" t="s">
        <v>127</v>
      </c>
      <c r="E242" s="226"/>
      <c r="F242" s="226"/>
      <c r="G242" s="155">
        <f>SUM(G243:G251)</f>
        <v>0</v>
      </c>
      <c r="H242" s="155">
        <f>SUM(H243:H251)</f>
        <v>254940.86</v>
      </c>
      <c r="I242" s="155">
        <f>SUM(I243:I251)</f>
        <v>0</v>
      </c>
    </row>
    <row r="243" spans="1:9" s="131" customFormat="1" hidden="1" x14ac:dyDescent="0.25">
      <c r="A243" s="192"/>
      <c r="B243" s="218" t="s">
        <v>128</v>
      </c>
      <c r="C243" s="192"/>
      <c r="D243" s="224" t="s">
        <v>129</v>
      </c>
      <c r="E243" s="224"/>
      <c r="F243" s="224"/>
      <c r="G243" s="163"/>
      <c r="H243" s="163">
        <v>44747.89</v>
      </c>
      <c r="I243" s="163"/>
    </row>
    <row r="244" spans="1:9" s="131" customFormat="1" hidden="1" x14ac:dyDescent="0.25">
      <c r="A244" s="192"/>
      <c r="B244" s="218" t="s">
        <v>130</v>
      </c>
      <c r="C244" s="192"/>
      <c r="D244" s="224" t="s">
        <v>131</v>
      </c>
      <c r="E244" s="224"/>
      <c r="F244" s="224"/>
      <c r="G244" s="163"/>
      <c r="H244" s="163">
        <f>71006.7+199.08</f>
        <v>71205.78</v>
      </c>
      <c r="I244" s="163"/>
    </row>
    <row r="245" spans="1:9" s="131" customFormat="1" hidden="1" x14ac:dyDescent="0.25">
      <c r="A245" s="192"/>
      <c r="B245" s="218" t="s">
        <v>132</v>
      </c>
      <c r="C245" s="192"/>
      <c r="D245" s="224" t="s">
        <v>133</v>
      </c>
      <c r="E245" s="224"/>
      <c r="F245" s="224"/>
      <c r="G245" s="163"/>
      <c r="H245" s="163">
        <f>5939.21+663.61</f>
        <v>6602.82</v>
      </c>
      <c r="I245" s="163"/>
    </row>
    <row r="246" spans="1:9" s="131" customFormat="1" hidden="1" x14ac:dyDescent="0.25">
      <c r="A246" s="192"/>
      <c r="B246" s="177" t="s">
        <v>134</v>
      </c>
      <c r="C246" s="132"/>
      <c r="D246" s="227" t="s">
        <v>135</v>
      </c>
      <c r="E246" s="227"/>
      <c r="F246" s="227"/>
      <c r="G246" s="163"/>
      <c r="H246" s="163">
        <v>7296.17</v>
      </c>
      <c r="I246" s="163"/>
    </row>
    <row r="247" spans="1:9" s="131" customFormat="1" hidden="1" x14ac:dyDescent="0.25">
      <c r="A247" s="192"/>
      <c r="B247" s="177">
        <v>3235</v>
      </c>
      <c r="C247" s="132"/>
      <c r="D247" s="227" t="s">
        <v>136</v>
      </c>
      <c r="E247" s="227"/>
      <c r="F247" s="227"/>
      <c r="G247" s="163"/>
      <c r="H247" s="163">
        <v>1779.55</v>
      </c>
      <c r="I247" s="163"/>
    </row>
    <row r="248" spans="1:9" s="131" customFormat="1" hidden="1" x14ac:dyDescent="0.25">
      <c r="A248" s="192"/>
      <c r="B248" s="177">
        <v>3236</v>
      </c>
      <c r="C248" s="132"/>
      <c r="D248" s="227" t="s">
        <v>137</v>
      </c>
      <c r="E248" s="227"/>
      <c r="F248" s="227"/>
      <c r="G248" s="163"/>
      <c r="H248" s="163">
        <v>2654.46</v>
      </c>
      <c r="I248" s="163"/>
    </row>
    <row r="249" spans="1:9" s="131" customFormat="1" hidden="1" x14ac:dyDescent="0.25">
      <c r="A249" s="192"/>
      <c r="B249" s="177">
        <v>3237</v>
      </c>
      <c r="C249" s="132"/>
      <c r="D249" s="227" t="s">
        <v>138</v>
      </c>
      <c r="E249" s="227"/>
      <c r="F249" s="227"/>
      <c r="G249" s="163"/>
      <c r="H249" s="163">
        <v>80051.100000000006</v>
      </c>
      <c r="I249" s="163">
        <v>0</v>
      </c>
    </row>
    <row r="250" spans="1:9" s="131" customFormat="1" hidden="1" x14ac:dyDescent="0.25">
      <c r="A250" s="192"/>
      <c r="B250" s="177" t="s">
        <v>139</v>
      </c>
      <c r="C250" s="132"/>
      <c r="D250" s="227" t="s">
        <v>140</v>
      </c>
      <c r="E250" s="227"/>
      <c r="F250" s="227"/>
      <c r="G250" s="163"/>
      <c r="H250" s="163">
        <v>20620.21</v>
      </c>
      <c r="I250" s="163"/>
    </row>
    <row r="251" spans="1:9" s="131" customFormat="1" ht="13.9" hidden="1" customHeight="1" x14ac:dyDescent="0.25">
      <c r="A251" s="217"/>
      <c r="B251" s="177" t="s">
        <v>141</v>
      </c>
      <c r="C251" s="132"/>
      <c r="D251" s="227" t="s">
        <v>142</v>
      </c>
      <c r="E251" s="227"/>
      <c r="F251" s="227"/>
      <c r="G251" s="163"/>
      <c r="H251" s="163">
        <f>16664.81+3318.07</f>
        <v>19982.88</v>
      </c>
      <c r="I251" s="163"/>
    </row>
    <row r="252" spans="1:9" s="118" customFormat="1" hidden="1" x14ac:dyDescent="0.25">
      <c r="A252" s="217"/>
      <c r="B252" s="174">
        <v>329</v>
      </c>
      <c r="C252" s="151"/>
      <c r="D252" s="228" t="s">
        <v>144</v>
      </c>
      <c r="E252" s="228"/>
      <c r="F252" s="228"/>
      <c r="G252" s="155">
        <f>SUM(G253:G259)</f>
        <v>0</v>
      </c>
      <c r="H252" s="155">
        <f>SUM(H253:H259)</f>
        <v>90535.42</v>
      </c>
      <c r="I252" s="155">
        <f>SUM(I253:I259)</f>
        <v>0</v>
      </c>
    </row>
    <row r="253" spans="1:9" s="118" customFormat="1" ht="31.5" hidden="1" x14ac:dyDescent="0.25">
      <c r="A253" s="217"/>
      <c r="B253" s="177" t="s">
        <v>145</v>
      </c>
      <c r="C253" s="132"/>
      <c r="D253" s="161" t="s">
        <v>146</v>
      </c>
      <c r="E253" s="161"/>
      <c r="F253" s="161"/>
      <c r="G253" s="163"/>
      <c r="H253" s="163">
        <v>2758.38</v>
      </c>
      <c r="I253" s="163"/>
    </row>
    <row r="254" spans="1:9" s="118" customFormat="1" hidden="1" x14ac:dyDescent="0.25">
      <c r="A254" s="217"/>
      <c r="B254" s="177">
        <v>3292</v>
      </c>
      <c r="C254" s="132"/>
      <c r="D254" s="227" t="s">
        <v>147</v>
      </c>
      <c r="E254" s="227"/>
      <c r="F254" s="227"/>
      <c r="G254" s="163"/>
      <c r="H254" s="163">
        <v>26299.96</v>
      </c>
      <c r="I254" s="163"/>
    </row>
    <row r="255" spans="1:9" s="118" customFormat="1" hidden="1" x14ac:dyDescent="0.25">
      <c r="A255" s="217"/>
      <c r="B255" s="177">
        <v>3293</v>
      </c>
      <c r="C255" s="132"/>
      <c r="D255" s="227" t="s">
        <v>148</v>
      </c>
      <c r="E255" s="227"/>
      <c r="F255" s="227"/>
      <c r="G255" s="163"/>
      <c r="H255" s="163">
        <f>8593.67+1327.23</f>
        <v>9920.9</v>
      </c>
      <c r="I255" s="163"/>
    </row>
    <row r="256" spans="1:9" s="250" customFormat="1" hidden="1" x14ac:dyDescent="0.25">
      <c r="A256" s="217"/>
      <c r="B256" s="177">
        <v>3294</v>
      </c>
      <c r="C256" s="132"/>
      <c r="D256" s="227" t="s">
        <v>149</v>
      </c>
      <c r="E256" s="227"/>
      <c r="F256" s="227"/>
      <c r="G256" s="163"/>
      <c r="H256" s="163">
        <v>3188.27</v>
      </c>
      <c r="I256" s="163"/>
    </row>
    <row r="257" spans="1:9" s="251" customFormat="1" hidden="1" x14ac:dyDescent="0.25">
      <c r="A257" s="217"/>
      <c r="B257" s="184">
        <v>3295</v>
      </c>
      <c r="C257" s="132"/>
      <c r="D257" s="229" t="s">
        <v>150</v>
      </c>
      <c r="E257" s="229"/>
      <c r="F257" s="229"/>
      <c r="G257" s="163"/>
      <c r="H257" s="163">
        <v>8237.7099999999991</v>
      </c>
      <c r="I257" s="163"/>
    </row>
    <row r="258" spans="1:9" s="252" customFormat="1" hidden="1" x14ac:dyDescent="0.25">
      <c r="A258" s="217"/>
      <c r="B258" s="184">
        <v>3296</v>
      </c>
      <c r="C258" s="132"/>
      <c r="D258" s="229" t="s">
        <v>151</v>
      </c>
      <c r="E258" s="229"/>
      <c r="F258" s="229"/>
      <c r="G258" s="163"/>
      <c r="H258" s="163">
        <v>39816.839999999997</v>
      </c>
      <c r="I258" s="163">
        <v>0</v>
      </c>
    </row>
    <row r="259" spans="1:9" s="252" customFormat="1" hidden="1" x14ac:dyDescent="0.25">
      <c r="A259" s="217"/>
      <c r="B259" s="184" t="s">
        <v>152</v>
      </c>
      <c r="C259" s="132"/>
      <c r="D259" s="229" t="s">
        <v>144</v>
      </c>
      <c r="E259" s="229"/>
      <c r="F259" s="229"/>
      <c r="G259" s="163"/>
      <c r="H259" s="163">
        <v>313.36</v>
      </c>
      <c r="I259" s="163"/>
    </row>
    <row r="260" spans="1:9" s="252" customFormat="1" hidden="1" x14ac:dyDescent="0.25">
      <c r="A260" s="217"/>
      <c r="B260" s="133">
        <v>34</v>
      </c>
      <c r="C260" s="203"/>
      <c r="D260" s="216" t="s">
        <v>153</v>
      </c>
      <c r="E260" s="216"/>
      <c r="F260" s="216"/>
      <c r="G260" s="168">
        <f>SUM(G261)</f>
        <v>0</v>
      </c>
      <c r="H260" s="168">
        <f>SUM(H261)</f>
        <v>9476.01</v>
      </c>
      <c r="I260" s="168">
        <f>SUM(I261)</f>
        <v>0</v>
      </c>
    </row>
    <row r="261" spans="1:9" s="252" customFormat="1" hidden="1" x14ac:dyDescent="0.25">
      <c r="A261" s="217"/>
      <c r="B261" s="174">
        <v>343</v>
      </c>
      <c r="C261" s="151"/>
      <c r="D261" s="228" t="s">
        <v>154</v>
      </c>
      <c r="E261" s="228"/>
      <c r="F261" s="228"/>
      <c r="G261" s="155">
        <f>SUM(G262:G265)</f>
        <v>0</v>
      </c>
      <c r="H261" s="155">
        <f>SUM(H262:H265)</f>
        <v>9476.01</v>
      </c>
      <c r="I261" s="155">
        <f>SUM(I262:I265)</f>
        <v>0</v>
      </c>
    </row>
    <row r="262" spans="1:9" s="210" customFormat="1" hidden="1" x14ac:dyDescent="0.25">
      <c r="A262" s="217"/>
      <c r="B262" s="177" t="s">
        <v>155</v>
      </c>
      <c r="C262" s="132"/>
      <c r="D262" s="227" t="s">
        <v>156</v>
      </c>
      <c r="E262" s="227"/>
      <c r="F262" s="227"/>
      <c r="G262" s="163"/>
      <c r="H262" s="163">
        <v>7436.99</v>
      </c>
      <c r="I262" s="163"/>
    </row>
    <row r="263" spans="1:9" s="210" customFormat="1" hidden="1" x14ac:dyDescent="0.25">
      <c r="A263" s="217"/>
      <c r="B263" s="177">
        <v>3432</v>
      </c>
      <c r="C263" s="132"/>
      <c r="D263" s="227" t="s">
        <v>205</v>
      </c>
      <c r="E263" s="227"/>
      <c r="F263" s="227"/>
      <c r="G263" s="163"/>
      <c r="H263" s="163">
        <v>0</v>
      </c>
      <c r="I263" s="163">
        <v>0</v>
      </c>
    </row>
    <row r="264" spans="1:9" s="250" customFormat="1" hidden="1" x14ac:dyDescent="0.25">
      <c r="A264" s="217"/>
      <c r="B264" s="184">
        <v>3433</v>
      </c>
      <c r="C264" s="132"/>
      <c r="D264" s="229" t="s">
        <v>157</v>
      </c>
      <c r="E264" s="229"/>
      <c r="F264" s="229"/>
      <c r="G264" s="163"/>
      <c r="H264" s="163">
        <v>711.79</v>
      </c>
      <c r="I264" s="163"/>
    </row>
    <row r="265" spans="1:9" s="250" customFormat="1" hidden="1" x14ac:dyDescent="0.25">
      <c r="A265" s="217"/>
      <c r="B265" s="184">
        <v>3434</v>
      </c>
      <c r="C265" s="132"/>
      <c r="D265" s="229" t="s">
        <v>158</v>
      </c>
      <c r="E265" s="229"/>
      <c r="F265" s="229"/>
      <c r="G265" s="163"/>
      <c r="H265" s="163">
        <v>1327.23</v>
      </c>
      <c r="I265" s="163">
        <v>0</v>
      </c>
    </row>
    <row r="266" spans="1:9" s="252" customFormat="1" hidden="1" x14ac:dyDescent="0.25">
      <c r="A266" s="217"/>
      <c r="B266" s="253">
        <v>37</v>
      </c>
      <c r="C266" s="254"/>
      <c r="D266" s="255" t="s">
        <v>162</v>
      </c>
      <c r="E266" s="255"/>
      <c r="F266" s="255"/>
      <c r="G266" s="168">
        <f t="shared" ref="G266:I267" si="64">SUM(G267)</f>
        <v>0</v>
      </c>
      <c r="H266" s="168">
        <f t="shared" si="64"/>
        <v>6901.58</v>
      </c>
      <c r="I266" s="168">
        <f t="shared" si="64"/>
        <v>0</v>
      </c>
    </row>
    <row r="267" spans="1:9" s="252" customFormat="1" hidden="1" x14ac:dyDescent="0.25">
      <c r="A267" s="217"/>
      <c r="B267" s="256">
        <v>372</v>
      </c>
      <c r="C267" s="257"/>
      <c r="D267" s="258" t="s">
        <v>163</v>
      </c>
      <c r="E267" s="258"/>
      <c r="F267" s="258"/>
      <c r="G267" s="155">
        <f t="shared" si="64"/>
        <v>0</v>
      </c>
      <c r="H267" s="155">
        <f t="shared" si="64"/>
        <v>6901.58</v>
      </c>
      <c r="I267" s="155">
        <f t="shared" si="64"/>
        <v>0</v>
      </c>
    </row>
    <row r="268" spans="1:9" hidden="1" x14ac:dyDescent="0.25">
      <c r="A268" s="217"/>
      <c r="B268" s="259">
        <v>3721</v>
      </c>
      <c r="C268" s="260"/>
      <c r="D268" s="261" t="s">
        <v>164</v>
      </c>
      <c r="E268" s="261"/>
      <c r="F268" s="261"/>
      <c r="G268" s="163"/>
      <c r="H268" s="163">
        <v>6901.58</v>
      </c>
      <c r="I268" s="163"/>
    </row>
    <row r="269" spans="1:9" hidden="1" x14ac:dyDescent="0.25">
      <c r="A269" s="217"/>
      <c r="B269" s="133" t="s">
        <v>165</v>
      </c>
      <c r="C269" s="203"/>
      <c r="D269" s="216" t="s">
        <v>98</v>
      </c>
      <c r="E269" s="216"/>
      <c r="F269" s="216"/>
      <c r="G269" s="168">
        <f>G272+G270</f>
        <v>0</v>
      </c>
      <c r="H269" s="168">
        <f>H270+H272</f>
        <v>1770.66</v>
      </c>
      <c r="I269" s="168">
        <f>I270+I272</f>
        <v>0</v>
      </c>
    </row>
    <row r="270" spans="1:9" hidden="1" x14ac:dyDescent="0.25">
      <c r="A270" s="217"/>
      <c r="B270" s="152" t="s">
        <v>166</v>
      </c>
      <c r="C270" s="192"/>
      <c r="D270" s="236" t="s">
        <v>69</v>
      </c>
      <c r="E270" s="236"/>
      <c r="F270" s="236"/>
      <c r="G270" s="155">
        <f>SUM(G271)</f>
        <v>0</v>
      </c>
      <c r="H270" s="155">
        <f>SUM(H271)</f>
        <v>1505.21</v>
      </c>
      <c r="I270" s="155">
        <f>SUM(I271)</f>
        <v>0</v>
      </c>
    </row>
    <row r="271" spans="1:9" hidden="1" x14ac:dyDescent="0.25">
      <c r="A271" s="217"/>
      <c r="B271" s="218" t="s">
        <v>168</v>
      </c>
      <c r="C271" s="217"/>
      <c r="D271" s="237" t="s">
        <v>167</v>
      </c>
      <c r="E271" s="237"/>
      <c r="F271" s="237"/>
      <c r="G271" s="163"/>
      <c r="H271" s="163">
        <v>1505.21</v>
      </c>
      <c r="I271" s="163"/>
    </row>
    <row r="272" spans="1:9" hidden="1" x14ac:dyDescent="0.25">
      <c r="A272" s="217"/>
      <c r="B272" s="169">
        <v>383</v>
      </c>
      <c r="C272" s="151"/>
      <c r="D272" s="232" t="s">
        <v>169</v>
      </c>
      <c r="E272" s="232"/>
      <c r="F272" s="232"/>
      <c r="G272" s="155">
        <f>SUM(G273:G274)</f>
        <v>0</v>
      </c>
      <c r="H272" s="155">
        <f>SUM(H273:H274)</f>
        <v>265.45</v>
      </c>
      <c r="I272" s="155">
        <f>SUM(I273:I274)</f>
        <v>0</v>
      </c>
    </row>
    <row r="273" spans="1:9" hidden="1" x14ac:dyDescent="0.25">
      <c r="A273" s="217"/>
      <c r="B273" s="184">
        <v>3834</v>
      </c>
      <c r="C273" s="132"/>
      <c r="D273" s="229" t="s">
        <v>172</v>
      </c>
      <c r="E273" s="229"/>
      <c r="F273" s="229"/>
      <c r="G273" s="163"/>
      <c r="H273" s="163">
        <v>265.45</v>
      </c>
      <c r="I273" s="163">
        <v>0</v>
      </c>
    </row>
    <row r="274" spans="1:9" hidden="1" x14ac:dyDescent="0.25">
      <c r="A274" s="217"/>
      <c r="B274" s="184">
        <v>3835</v>
      </c>
      <c r="C274" s="132"/>
      <c r="D274" s="229" t="s">
        <v>173</v>
      </c>
      <c r="E274" s="229"/>
      <c r="F274" s="229"/>
      <c r="G274" s="163"/>
      <c r="H274" s="163">
        <v>0</v>
      </c>
      <c r="I274" s="163"/>
    </row>
    <row r="275" spans="1:9" hidden="1" x14ac:dyDescent="0.25">
      <c r="A275" s="238">
        <v>4</v>
      </c>
      <c r="B275" s="239"/>
      <c r="C275" s="240"/>
      <c r="D275" s="241" t="s">
        <v>174</v>
      </c>
      <c r="E275" s="241"/>
      <c r="F275" s="241"/>
      <c r="G275" s="202">
        <f>G276+G279</f>
        <v>0</v>
      </c>
      <c r="H275" s="202">
        <f>H276+H279</f>
        <v>44926.680000000008</v>
      </c>
      <c r="I275" s="202">
        <f>I276+I279</f>
        <v>0</v>
      </c>
    </row>
    <row r="276" spans="1:9" hidden="1" x14ac:dyDescent="0.25">
      <c r="A276" s="157"/>
      <c r="B276" s="133" t="s">
        <v>175</v>
      </c>
      <c r="C276" s="203"/>
      <c r="D276" s="242" t="s">
        <v>176</v>
      </c>
      <c r="E276" s="242"/>
      <c r="F276" s="242"/>
      <c r="G276" s="168">
        <f t="shared" ref="G276:I277" si="65">SUM(G277)</f>
        <v>0</v>
      </c>
      <c r="H276" s="168">
        <f t="shared" si="65"/>
        <v>0</v>
      </c>
      <c r="I276" s="168">
        <f t="shared" si="65"/>
        <v>0</v>
      </c>
    </row>
    <row r="277" spans="1:9" hidden="1" x14ac:dyDescent="0.25">
      <c r="A277" s="157"/>
      <c r="B277" s="174">
        <v>412</v>
      </c>
      <c r="C277" s="156"/>
      <c r="D277" s="245" t="s">
        <v>181</v>
      </c>
      <c r="E277" s="245"/>
      <c r="F277" s="245"/>
      <c r="G277" s="155">
        <f t="shared" si="65"/>
        <v>0</v>
      </c>
      <c r="H277" s="155">
        <f t="shared" si="65"/>
        <v>0</v>
      </c>
      <c r="I277" s="155">
        <f t="shared" si="65"/>
        <v>0</v>
      </c>
    </row>
    <row r="278" spans="1:9" hidden="1" x14ac:dyDescent="0.25">
      <c r="A278" s="180"/>
      <c r="B278" s="177">
        <v>4123</v>
      </c>
      <c r="C278" s="160"/>
      <c r="D278" s="246" t="s">
        <v>182</v>
      </c>
      <c r="E278" s="246"/>
      <c r="F278" s="246"/>
      <c r="G278" s="163">
        <v>0</v>
      </c>
      <c r="H278" s="163">
        <v>0</v>
      </c>
      <c r="I278" s="163">
        <v>0</v>
      </c>
    </row>
    <row r="279" spans="1:9" hidden="1" x14ac:dyDescent="0.25">
      <c r="A279" s="217"/>
      <c r="B279" s="133">
        <v>42</v>
      </c>
      <c r="C279" s="203"/>
      <c r="D279" s="216" t="s">
        <v>183</v>
      </c>
      <c r="E279" s="216"/>
      <c r="F279" s="216"/>
      <c r="G279" s="168">
        <f>SUM(G280,G282,G291)</f>
        <v>0</v>
      </c>
      <c r="H279" s="168">
        <f>SUM(H280,H282,H291)</f>
        <v>44926.680000000008</v>
      </c>
      <c r="I279" s="168">
        <f>SUM(I280,I282,I291,I289)</f>
        <v>0</v>
      </c>
    </row>
    <row r="280" spans="1:9" hidden="1" x14ac:dyDescent="0.25">
      <c r="A280" s="217"/>
      <c r="B280" s="152" t="s">
        <v>206</v>
      </c>
      <c r="C280" s="192"/>
      <c r="D280" s="236" t="s">
        <v>207</v>
      </c>
      <c r="E280" s="236"/>
      <c r="F280" s="236"/>
      <c r="G280" s="155">
        <f>SUM(G281)</f>
        <v>0</v>
      </c>
      <c r="H280" s="155">
        <f>SUM(H281)</f>
        <v>18581.2</v>
      </c>
      <c r="I280" s="155">
        <f>SUM(I281)</f>
        <v>0</v>
      </c>
    </row>
    <row r="281" spans="1:9" hidden="1" x14ac:dyDescent="0.25">
      <c r="A281" s="217"/>
      <c r="B281" s="218" t="s">
        <v>208</v>
      </c>
      <c r="C281" s="217"/>
      <c r="D281" s="237" t="s">
        <v>209</v>
      </c>
      <c r="E281" s="237"/>
      <c r="F281" s="237"/>
      <c r="G281" s="163"/>
      <c r="H281" s="163">
        <v>18581.2</v>
      </c>
      <c r="I281" s="163">
        <v>0</v>
      </c>
    </row>
    <row r="282" spans="1:9" hidden="1" x14ac:dyDescent="0.25">
      <c r="A282" s="217"/>
      <c r="B282" s="152">
        <v>422</v>
      </c>
      <c r="C282" s="217"/>
      <c r="D282" s="192" t="s">
        <v>184</v>
      </c>
      <c r="E282" s="192"/>
      <c r="F282" s="192"/>
      <c r="G282" s="155">
        <f>SUM(G283:G288)</f>
        <v>0</v>
      </c>
      <c r="H282" s="155">
        <f>SUM(H283:H287)</f>
        <v>26345.480000000003</v>
      </c>
      <c r="I282" s="155">
        <f>SUM(I283:I287)</f>
        <v>0</v>
      </c>
    </row>
    <row r="283" spans="1:9" hidden="1" x14ac:dyDescent="0.25">
      <c r="A283" s="217"/>
      <c r="B283" s="218" t="s">
        <v>185</v>
      </c>
      <c r="C283" s="217"/>
      <c r="D283" s="217" t="s">
        <v>186</v>
      </c>
      <c r="E283" s="217"/>
      <c r="F283" s="217"/>
      <c r="G283" s="163"/>
      <c r="H283" s="163">
        <f>1327.23</f>
        <v>1327.23</v>
      </c>
      <c r="I283" s="163"/>
    </row>
    <row r="284" spans="1:9" hidden="1" x14ac:dyDescent="0.25">
      <c r="A284" s="217"/>
      <c r="B284" s="218" t="s">
        <v>187</v>
      </c>
      <c r="C284" s="217"/>
      <c r="D284" s="217" t="s">
        <v>188</v>
      </c>
      <c r="E284" s="217"/>
      <c r="F284" s="217"/>
      <c r="G284" s="163"/>
      <c r="H284" s="163">
        <v>132.72</v>
      </c>
      <c r="I284" s="163">
        <v>0</v>
      </c>
    </row>
    <row r="285" spans="1:9" hidden="1" x14ac:dyDescent="0.25">
      <c r="A285" s="180"/>
      <c r="B285" s="177">
        <v>4223</v>
      </c>
      <c r="C285" s="160"/>
      <c r="D285" s="246" t="s">
        <v>189</v>
      </c>
      <c r="E285" s="246"/>
      <c r="F285" s="246"/>
      <c r="G285" s="163">
        <v>0</v>
      </c>
      <c r="H285" s="163">
        <f>1990.84</f>
        <v>1990.84</v>
      </c>
      <c r="I285" s="163">
        <v>0</v>
      </c>
    </row>
    <row r="286" spans="1:9" hidden="1" x14ac:dyDescent="0.25">
      <c r="A286" s="180"/>
      <c r="B286" s="177">
        <v>4224</v>
      </c>
      <c r="C286" s="160"/>
      <c r="D286" s="246" t="s">
        <v>190</v>
      </c>
      <c r="E286" s="246"/>
      <c r="F286" s="246"/>
      <c r="G286" s="163"/>
      <c r="H286" s="163">
        <f>22562.88+331.81</f>
        <v>22894.690000000002</v>
      </c>
      <c r="I286" s="163"/>
    </row>
    <row r="287" spans="1:9" hidden="1" x14ac:dyDescent="0.25">
      <c r="A287" s="180"/>
      <c r="B287" s="177">
        <v>4225</v>
      </c>
      <c r="C287" s="160"/>
      <c r="D287" s="246" t="s">
        <v>191</v>
      </c>
      <c r="E287" s="246"/>
      <c r="F287" s="246"/>
      <c r="G287" s="163">
        <v>0</v>
      </c>
      <c r="H287" s="163">
        <v>0</v>
      </c>
      <c r="I287" s="163">
        <v>0</v>
      </c>
    </row>
    <row r="288" spans="1:9" hidden="1" x14ac:dyDescent="0.25">
      <c r="A288" s="180"/>
      <c r="B288" s="177">
        <v>4227</v>
      </c>
      <c r="C288" s="160"/>
      <c r="D288" s="246" t="s">
        <v>192</v>
      </c>
      <c r="E288" s="246"/>
      <c r="F288" s="246"/>
      <c r="G288" s="163"/>
      <c r="H288" s="163">
        <v>0</v>
      </c>
      <c r="I288" s="163">
        <v>0</v>
      </c>
    </row>
    <row r="289" spans="1:9" s="130" customFormat="1" hidden="1" x14ac:dyDescent="0.25">
      <c r="A289" s="157"/>
      <c r="B289" s="174">
        <v>423</v>
      </c>
      <c r="C289" s="156"/>
      <c r="D289" s="245" t="s">
        <v>193</v>
      </c>
      <c r="E289" s="245"/>
      <c r="F289" s="245"/>
      <c r="G289" s="155"/>
      <c r="H289" s="155"/>
      <c r="I289" s="155">
        <f>I290</f>
        <v>0</v>
      </c>
    </row>
    <row r="290" spans="1:9" hidden="1" x14ac:dyDescent="0.25">
      <c r="A290" s="180"/>
      <c r="B290" s="177">
        <v>4231</v>
      </c>
      <c r="C290" s="160"/>
      <c r="D290" s="246" t="s">
        <v>80</v>
      </c>
      <c r="E290" s="246"/>
      <c r="F290" s="246"/>
      <c r="G290" s="163"/>
      <c r="H290" s="163"/>
      <c r="I290" s="163"/>
    </row>
    <row r="291" spans="1:9" hidden="1" x14ac:dyDescent="0.25">
      <c r="A291" s="180"/>
      <c r="B291" s="174">
        <v>426</v>
      </c>
      <c r="C291" s="156"/>
      <c r="D291" s="245" t="s">
        <v>194</v>
      </c>
      <c r="E291" s="245"/>
      <c r="F291" s="245"/>
      <c r="G291" s="155">
        <f>G292</f>
        <v>0</v>
      </c>
      <c r="H291" s="155">
        <f>H292</f>
        <v>0</v>
      </c>
      <c r="I291" s="155">
        <f>I292</f>
        <v>0</v>
      </c>
    </row>
    <row r="292" spans="1:9" hidden="1" x14ac:dyDescent="0.25">
      <c r="A292" s="180"/>
      <c r="B292" s="177">
        <v>4262</v>
      </c>
      <c r="C292" s="160"/>
      <c r="D292" s="246" t="s">
        <v>195</v>
      </c>
      <c r="E292" s="246"/>
      <c r="F292" s="246"/>
      <c r="G292" s="163"/>
      <c r="H292" s="163">
        <v>0</v>
      </c>
      <c r="I292" s="163">
        <v>0</v>
      </c>
    </row>
    <row r="293" spans="1:9" hidden="1" x14ac:dyDescent="0.25">
      <c r="A293" s="247"/>
      <c r="B293" s="248"/>
      <c r="C293" s="262" t="s">
        <v>66</v>
      </c>
      <c r="D293" s="263" t="s">
        <v>210</v>
      </c>
      <c r="E293" s="263"/>
      <c r="F293" s="263"/>
      <c r="G293" s="264">
        <f>G218+G275</f>
        <v>0</v>
      </c>
      <c r="H293" s="264">
        <f>H218+H275</f>
        <v>4869046.5299999993</v>
      </c>
      <c r="I293" s="264">
        <f>I218+I275</f>
        <v>0</v>
      </c>
    </row>
    <row r="294" spans="1:9" hidden="1" x14ac:dyDescent="0.25">
      <c r="A294" s="212" t="s">
        <v>86</v>
      </c>
      <c r="B294" s="212"/>
      <c r="C294" s="213"/>
      <c r="D294" s="214" t="s">
        <v>87</v>
      </c>
      <c r="E294" s="214"/>
      <c r="F294" s="214"/>
      <c r="G294" s="265">
        <f>G295+G302</f>
        <v>0</v>
      </c>
      <c r="H294" s="266">
        <f>H295+H302</f>
        <v>347388.68</v>
      </c>
      <c r="I294" s="266">
        <f>I295+I302</f>
        <v>0</v>
      </c>
    </row>
    <row r="295" spans="1:9" hidden="1" x14ac:dyDescent="0.25">
      <c r="A295" s="192"/>
      <c r="B295" s="133">
        <v>31</v>
      </c>
      <c r="C295" s="203"/>
      <c r="D295" s="216" t="s">
        <v>88</v>
      </c>
      <c r="E295" s="216"/>
      <c r="F295" s="216"/>
      <c r="G295" s="136">
        <f>G296+G300</f>
        <v>0</v>
      </c>
      <c r="H295" s="136">
        <f>H296+H300</f>
        <v>347388.68</v>
      </c>
      <c r="I295" s="136">
        <f>I296+I300</f>
        <v>0</v>
      </c>
    </row>
    <row r="296" spans="1:9" hidden="1" x14ac:dyDescent="0.25">
      <c r="A296" s="192"/>
      <c r="B296" s="152">
        <v>311</v>
      </c>
      <c r="C296" s="217"/>
      <c r="D296" s="192" t="s">
        <v>89</v>
      </c>
      <c r="E296" s="192"/>
      <c r="F296" s="192"/>
      <c r="G296" s="221">
        <f>SUM(G297:G299)</f>
        <v>0</v>
      </c>
      <c r="H296" s="221">
        <f>SUM(H297:H299)</f>
        <v>330612.52</v>
      </c>
      <c r="I296" s="221">
        <f>SUM(I297,I299)</f>
        <v>0</v>
      </c>
    </row>
    <row r="297" spans="1:9" hidden="1" x14ac:dyDescent="0.25">
      <c r="A297" s="192"/>
      <c r="B297" s="218">
        <v>3111</v>
      </c>
      <c r="C297" s="217"/>
      <c r="D297" s="217" t="s">
        <v>90</v>
      </c>
      <c r="E297" s="217"/>
      <c r="F297" s="217"/>
      <c r="G297" s="222"/>
      <c r="H297" s="267">
        <f>173999.6+21235.65</f>
        <v>195235.25</v>
      </c>
      <c r="I297" s="222"/>
    </row>
    <row r="298" spans="1:9" hidden="1" x14ac:dyDescent="0.25">
      <c r="A298" s="192"/>
      <c r="B298" s="218" t="s">
        <v>93</v>
      </c>
      <c r="C298" s="217"/>
      <c r="D298" s="217" t="s">
        <v>94</v>
      </c>
      <c r="E298" s="217"/>
      <c r="F298" s="217"/>
      <c r="G298" s="222">
        <v>0</v>
      </c>
      <c r="H298" s="267">
        <v>16988.52</v>
      </c>
      <c r="I298" s="222">
        <v>0</v>
      </c>
    </row>
    <row r="299" spans="1:9" hidden="1" x14ac:dyDescent="0.25">
      <c r="A299" s="192"/>
      <c r="B299" s="218" t="s">
        <v>95</v>
      </c>
      <c r="C299" s="217"/>
      <c r="D299" s="217" t="s">
        <v>211</v>
      </c>
      <c r="E299" s="217"/>
      <c r="F299" s="217"/>
      <c r="G299" s="222"/>
      <c r="H299" s="267">
        <v>118388.75</v>
      </c>
      <c r="I299" s="222">
        <v>0</v>
      </c>
    </row>
    <row r="300" spans="1:9" hidden="1" x14ac:dyDescent="0.25">
      <c r="A300" s="192"/>
      <c r="B300" s="152" t="s">
        <v>212</v>
      </c>
      <c r="C300" s="192"/>
      <c r="D300" s="192" t="s">
        <v>100</v>
      </c>
      <c r="E300" s="192"/>
      <c r="F300" s="192"/>
      <c r="G300" s="268">
        <f>SUM(G301)</f>
        <v>0</v>
      </c>
      <c r="H300" s="268">
        <f>SUM(H301)</f>
        <v>16776.16</v>
      </c>
      <c r="I300" s="268">
        <f>SUM(I301)</f>
        <v>0</v>
      </c>
    </row>
    <row r="301" spans="1:9" hidden="1" x14ac:dyDescent="0.25">
      <c r="A301" s="192"/>
      <c r="B301" s="218" t="s">
        <v>213</v>
      </c>
      <c r="C301" s="217"/>
      <c r="D301" s="217" t="s">
        <v>214</v>
      </c>
      <c r="E301" s="217"/>
      <c r="F301" s="217"/>
      <c r="G301" s="222"/>
      <c r="H301" s="267">
        <v>16776.16</v>
      </c>
      <c r="I301" s="222">
        <v>0</v>
      </c>
    </row>
    <row r="302" spans="1:9" hidden="1" x14ac:dyDescent="0.25">
      <c r="A302" s="192"/>
      <c r="B302" s="133">
        <v>32</v>
      </c>
      <c r="C302" s="203"/>
      <c r="D302" s="216" t="s">
        <v>102</v>
      </c>
      <c r="E302" s="216"/>
      <c r="F302" s="216"/>
      <c r="G302" s="269">
        <f>SUM(G305+G303+G310+G316)</f>
        <v>0</v>
      </c>
      <c r="H302" s="269">
        <v>0</v>
      </c>
      <c r="I302" s="269">
        <f>SUM(I303,I305,I310,I316)</f>
        <v>0</v>
      </c>
    </row>
    <row r="303" spans="1:9" hidden="1" x14ac:dyDescent="0.25">
      <c r="A303" s="192"/>
      <c r="B303" s="152" t="s">
        <v>215</v>
      </c>
      <c r="C303" s="192"/>
      <c r="D303" s="236" t="s">
        <v>103</v>
      </c>
      <c r="E303" s="236"/>
      <c r="F303" s="236"/>
      <c r="G303" s="268">
        <f>G304</f>
        <v>0</v>
      </c>
      <c r="H303" s="268">
        <f>H304</f>
        <v>0</v>
      </c>
      <c r="I303" s="268">
        <f>I304</f>
        <v>0</v>
      </c>
    </row>
    <row r="304" spans="1:9" hidden="1" x14ac:dyDescent="0.25">
      <c r="A304" s="217"/>
      <c r="B304" s="218" t="s">
        <v>106</v>
      </c>
      <c r="C304" s="217"/>
      <c r="D304" s="237" t="s">
        <v>107</v>
      </c>
      <c r="E304" s="237"/>
      <c r="F304" s="237"/>
      <c r="G304" s="267"/>
      <c r="H304" s="267">
        <v>0</v>
      </c>
      <c r="I304" s="267">
        <v>0</v>
      </c>
    </row>
    <row r="305" spans="1:9" hidden="1" x14ac:dyDescent="0.25">
      <c r="A305" s="192"/>
      <c r="B305" s="152" t="s">
        <v>112</v>
      </c>
      <c r="C305" s="192"/>
      <c r="D305" s="192" t="s">
        <v>113</v>
      </c>
      <c r="E305" s="192"/>
      <c r="F305" s="192"/>
      <c r="G305" s="221">
        <f>SUM(G306:G309)</f>
        <v>0</v>
      </c>
      <c r="H305" s="221">
        <f>SUM(H307,H306)</f>
        <v>0</v>
      </c>
      <c r="I305" s="221">
        <f>SUM(I306:I309)</f>
        <v>0</v>
      </c>
    </row>
    <row r="306" spans="1:9" hidden="1" x14ac:dyDescent="0.25">
      <c r="A306" s="217"/>
      <c r="B306" s="218" t="s">
        <v>114</v>
      </c>
      <c r="C306" s="217"/>
      <c r="D306" s="217" t="s">
        <v>115</v>
      </c>
      <c r="E306" s="217"/>
      <c r="F306" s="217"/>
      <c r="G306" s="222"/>
      <c r="H306" s="222">
        <v>0</v>
      </c>
      <c r="I306" s="222"/>
    </row>
    <row r="307" spans="1:9" hidden="1" x14ac:dyDescent="0.25">
      <c r="A307" s="192"/>
      <c r="B307" s="218" t="s">
        <v>116</v>
      </c>
      <c r="C307" s="217"/>
      <c r="D307" s="217" t="s">
        <v>117</v>
      </c>
      <c r="E307" s="217"/>
      <c r="F307" s="217"/>
      <c r="G307" s="222"/>
      <c r="H307" s="267">
        <v>0</v>
      </c>
      <c r="I307" s="222">
        <v>0</v>
      </c>
    </row>
    <row r="308" spans="1:9" hidden="1" x14ac:dyDescent="0.25">
      <c r="A308" s="192"/>
      <c r="B308" s="218" t="s">
        <v>118</v>
      </c>
      <c r="C308" s="217"/>
      <c r="D308" s="217" t="s">
        <v>119</v>
      </c>
      <c r="E308" s="217"/>
      <c r="F308" s="217"/>
      <c r="G308" s="222"/>
      <c r="H308" s="267">
        <v>0</v>
      </c>
      <c r="I308" s="222"/>
    </row>
    <row r="309" spans="1:9" hidden="1" x14ac:dyDescent="0.25">
      <c r="A309" s="192"/>
      <c r="B309" s="218" t="s">
        <v>120</v>
      </c>
      <c r="C309" s="217"/>
      <c r="D309" s="217" t="s">
        <v>121</v>
      </c>
      <c r="E309" s="217"/>
      <c r="F309" s="217"/>
      <c r="G309" s="222"/>
      <c r="H309" s="267">
        <v>0</v>
      </c>
      <c r="I309" s="222">
        <v>0</v>
      </c>
    </row>
    <row r="310" spans="1:9" hidden="1" x14ac:dyDescent="0.25">
      <c r="A310" s="192"/>
      <c r="B310" s="152" t="s">
        <v>126</v>
      </c>
      <c r="C310" s="192"/>
      <c r="D310" s="192" t="s">
        <v>127</v>
      </c>
      <c r="E310" s="192"/>
      <c r="F310" s="192"/>
      <c r="G310" s="221">
        <f>SUM(G311:G315)</f>
        <v>0</v>
      </c>
      <c r="H310" s="221">
        <f>SUM(H311:H315)</f>
        <v>0</v>
      </c>
      <c r="I310" s="221">
        <f>SUM(I311:I315)</f>
        <v>0</v>
      </c>
    </row>
    <row r="311" spans="1:9" hidden="1" x14ac:dyDescent="0.25">
      <c r="A311" s="192"/>
      <c r="B311" s="218" t="s">
        <v>132</v>
      </c>
      <c r="C311" s="217"/>
      <c r="D311" s="217" t="s">
        <v>133</v>
      </c>
      <c r="E311" s="217"/>
      <c r="F311" s="217"/>
      <c r="G311" s="222">
        <v>0</v>
      </c>
      <c r="H311" s="267">
        <v>0</v>
      </c>
      <c r="I311" s="222"/>
    </row>
    <row r="312" spans="1:9" hidden="1" x14ac:dyDescent="0.25">
      <c r="A312" s="192"/>
      <c r="B312" s="218" t="s">
        <v>134</v>
      </c>
      <c r="C312" s="217"/>
      <c r="D312" s="217" t="s">
        <v>135</v>
      </c>
      <c r="E312" s="217"/>
      <c r="F312" s="217"/>
      <c r="G312" s="222"/>
      <c r="H312" s="267">
        <v>0</v>
      </c>
      <c r="I312" s="222"/>
    </row>
    <row r="313" spans="1:9" hidden="1" x14ac:dyDescent="0.25">
      <c r="A313" s="192"/>
      <c r="B313" s="218" t="s">
        <v>216</v>
      </c>
      <c r="C313" s="217"/>
      <c r="D313" s="217" t="s">
        <v>136</v>
      </c>
      <c r="E313" s="217"/>
      <c r="F313" s="217"/>
      <c r="G313" s="222">
        <v>0</v>
      </c>
      <c r="H313" s="267">
        <v>0</v>
      </c>
      <c r="I313" s="222"/>
    </row>
    <row r="314" spans="1:9" hidden="1" x14ac:dyDescent="0.25">
      <c r="A314" s="192"/>
      <c r="B314" s="218" t="s">
        <v>217</v>
      </c>
      <c r="C314" s="217"/>
      <c r="D314" s="217" t="s">
        <v>137</v>
      </c>
      <c r="E314" s="217"/>
      <c r="F314" s="217"/>
      <c r="G314" s="222"/>
      <c r="H314" s="267">
        <v>0</v>
      </c>
      <c r="I314" s="222">
        <v>0</v>
      </c>
    </row>
    <row r="315" spans="1:9" hidden="1" x14ac:dyDescent="0.25">
      <c r="A315" s="192"/>
      <c r="B315" s="218" t="s">
        <v>218</v>
      </c>
      <c r="C315" s="217"/>
      <c r="D315" s="217" t="s">
        <v>138</v>
      </c>
      <c r="E315" s="217"/>
      <c r="F315" s="217"/>
      <c r="G315" s="222">
        <v>0</v>
      </c>
      <c r="H315" s="267">
        <v>0</v>
      </c>
      <c r="I315" s="222"/>
    </row>
    <row r="316" spans="1:9" hidden="1" x14ac:dyDescent="0.25">
      <c r="A316" s="192"/>
      <c r="B316" s="152" t="s">
        <v>219</v>
      </c>
      <c r="C316" s="192"/>
      <c r="D316" s="192" t="s">
        <v>220</v>
      </c>
      <c r="E316" s="192"/>
      <c r="F316" s="192"/>
      <c r="G316" s="221">
        <f>SUM(G317:G318)</f>
        <v>0</v>
      </c>
      <c r="H316" s="221">
        <f>SUM(H317:H318)</f>
        <v>0</v>
      </c>
      <c r="I316" s="221">
        <f>SUM(I317:I318)</f>
        <v>0</v>
      </c>
    </row>
    <row r="317" spans="1:9" hidden="1" x14ac:dyDescent="0.25">
      <c r="A317" s="192"/>
      <c r="B317" s="218" t="s">
        <v>221</v>
      </c>
      <c r="C317" s="217"/>
      <c r="D317" s="217" t="s">
        <v>148</v>
      </c>
      <c r="E317" s="217"/>
      <c r="F317" s="217"/>
      <c r="G317" s="222">
        <v>0</v>
      </c>
      <c r="H317" s="267">
        <v>0</v>
      </c>
      <c r="I317" s="222"/>
    </row>
    <row r="318" spans="1:9" hidden="1" x14ac:dyDescent="0.25">
      <c r="A318" s="192"/>
      <c r="B318" s="218" t="s">
        <v>222</v>
      </c>
      <c r="C318" s="217"/>
      <c r="D318" s="217" t="s">
        <v>150</v>
      </c>
      <c r="E318" s="217"/>
      <c r="F318" s="217"/>
      <c r="G318" s="222">
        <v>0</v>
      </c>
      <c r="H318" s="267">
        <v>0</v>
      </c>
      <c r="I318" s="222">
        <v>0</v>
      </c>
    </row>
    <row r="319" spans="1:9" s="130" customFormat="1" hidden="1" x14ac:dyDescent="0.25">
      <c r="A319" s="200">
        <v>4</v>
      </c>
      <c r="B319" s="270"/>
      <c r="C319" s="271"/>
      <c r="D319" s="241" t="s">
        <v>183</v>
      </c>
      <c r="E319" s="241"/>
      <c r="F319" s="241"/>
      <c r="G319" s="272"/>
      <c r="H319" s="273"/>
      <c r="I319" s="272">
        <f>I320</f>
        <v>0</v>
      </c>
    </row>
    <row r="320" spans="1:9" s="130" customFormat="1" hidden="1" x14ac:dyDescent="0.25">
      <c r="A320" s="192"/>
      <c r="B320" s="152" t="s">
        <v>223</v>
      </c>
      <c r="C320" s="192"/>
      <c r="D320" s="192" t="s">
        <v>184</v>
      </c>
      <c r="E320" s="192"/>
      <c r="F320" s="192"/>
      <c r="G320" s="221"/>
      <c r="H320" s="268"/>
      <c r="I320" s="221">
        <f>I321</f>
        <v>0</v>
      </c>
    </row>
    <row r="321" spans="1:9" hidden="1" x14ac:dyDescent="0.25">
      <c r="A321" s="192"/>
      <c r="B321" s="218" t="s">
        <v>185</v>
      </c>
      <c r="C321" s="217"/>
      <c r="D321" s="217" t="s">
        <v>186</v>
      </c>
      <c r="E321" s="217"/>
      <c r="F321" s="217"/>
      <c r="G321" s="222"/>
      <c r="H321" s="267"/>
      <c r="I321" s="222"/>
    </row>
    <row r="322" spans="1:9" hidden="1" x14ac:dyDescent="0.25">
      <c r="A322" s="247"/>
      <c r="B322" s="248"/>
      <c r="C322" s="262">
        <v>52</v>
      </c>
      <c r="D322" s="263" t="s">
        <v>224</v>
      </c>
      <c r="E322" s="263"/>
      <c r="F322" s="263"/>
      <c r="G322" s="264">
        <f>G294</f>
        <v>0</v>
      </c>
      <c r="H322" s="264">
        <f>H294</f>
        <v>347388.68</v>
      </c>
      <c r="I322" s="264">
        <f>I294+I319</f>
        <v>0</v>
      </c>
    </row>
    <row r="323" spans="1:9" hidden="1" x14ac:dyDescent="0.25">
      <c r="A323" s="212" t="s">
        <v>86</v>
      </c>
      <c r="B323" s="212"/>
      <c r="C323" s="213"/>
      <c r="D323" s="214" t="s">
        <v>87</v>
      </c>
      <c r="E323" s="214"/>
      <c r="F323" s="214"/>
      <c r="G323" s="215">
        <f>G324+G333</f>
        <v>0</v>
      </c>
      <c r="H323" s="215">
        <f>H324+H333</f>
        <v>139358.95000000001</v>
      </c>
      <c r="I323" s="215">
        <f>I324+I333</f>
        <v>0</v>
      </c>
    </row>
    <row r="324" spans="1:9" hidden="1" x14ac:dyDescent="0.25">
      <c r="A324" s="192"/>
      <c r="B324" s="133">
        <v>31</v>
      </c>
      <c r="C324" s="203"/>
      <c r="D324" s="216" t="s">
        <v>88</v>
      </c>
      <c r="E324" s="216"/>
      <c r="F324" s="216"/>
      <c r="G324" s="136">
        <f>G325+G328+G330</f>
        <v>0</v>
      </c>
      <c r="H324" s="136">
        <f>H325+H328+H330</f>
        <v>132059.20000000001</v>
      </c>
      <c r="I324" s="136">
        <f>I325+I328+I330</f>
        <v>0</v>
      </c>
    </row>
    <row r="325" spans="1:9" hidden="1" x14ac:dyDescent="0.25">
      <c r="A325" s="192"/>
      <c r="B325" s="152">
        <v>311</v>
      </c>
      <c r="C325" s="217"/>
      <c r="D325" s="192" t="s">
        <v>89</v>
      </c>
      <c r="E325" s="192"/>
      <c r="F325" s="192"/>
      <c r="G325" s="155">
        <f>SUM(G326:G327)</f>
        <v>0</v>
      </c>
      <c r="H325" s="155">
        <f>SUM(H326:H326)</f>
        <v>106178.26</v>
      </c>
      <c r="I325" s="155">
        <f>SUM(I326:I326)</f>
        <v>0</v>
      </c>
    </row>
    <row r="326" spans="1:9" hidden="1" x14ac:dyDescent="0.25">
      <c r="A326" s="217"/>
      <c r="B326" s="218">
        <v>3111</v>
      </c>
      <c r="C326" s="217"/>
      <c r="D326" s="217" t="s">
        <v>90</v>
      </c>
      <c r="E326" s="217"/>
      <c r="F326" s="217"/>
      <c r="G326" s="163"/>
      <c r="H326" s="163">
        <v>106178.26</v>
      </c>
      <c r="I326" s="163">
        <v>0</v>
      </c>
    </row>
    <row r="327" spans="1:9" hidden="1" x14ac:dyDescent="0.25">
      <c r="A327" s="217"/>
      <c r="B327" s="218" t="s">
        <v>95</v>
      </c>
      <c r="C327" s="217"/>
      <c r="D327" s="217" t="s">
        <v>211</v>
      </c>
      <c r="E327" s="217"/>
      <c r="F327" s="217"/>
      <c r="G327" s="163"/>
      <c r="H327" s="163">
        <v>0</v>
      </c>
      <c r="I327" s="163">
        <v>0</v>
      </c>
    </row>
    <row r="328" spans="1:9" hidden="1" x14ac:dyDescent="0.25">
      <c r="A328" s="192"/>
      <c r="B328" s="152" t="s">
        <v>97</v>
      </c>
      <c r="C328" s="192"/>
      <c r="D328" s="192" t="s">
        <v>98</v>
      </c>
      <c r="E328" s="192"/>
      <c r="F328" s="192"/>
      <c r="G328" s="155">
        <f>SUM(G329)</f>
        <v>0</v>
      </c>
      <c r="H328" s="155">
        <f>SUM(H329)</f>
        <v>4844.38</v>
      </c>
      <c r="I328" s="155">
        <f>SUM(I329)</f>
        <v>0</v>
      </c>
    </row>
    <row r="329" spans="1:9" hidden="1" x14ac:dyDescent="0.25">
      <c r="A329" s="217"/>
      <c r="B329" s="218" t="s">
        <v>99</v>
      </c>
      <c r="C329" s="217"/>
      <c r="D329" s="217" t="s">
        <v>98</v>
      </c>
      <c r="E329" s="217"/>
      <c r="F329" s="217"/>
      <c r="G329" s="163"/>
      <c r="H329" s="163">
        <v>4844.38</v>
      </c>
      <c r="I329" s="163">
        <v>0</v>
      </c>
    </row>
    <row r="330" spans="1:9" hidden="1" x14ac:dyDescent="0.25">
      <c r="A330" s="192"/>
      <c r="B330" s="156">
        <v>313</v>
      </c>
      <c r="C330" s="192"/>
      <c r="D330" s="192" t="s">
        <v>100</v>
      </c>
      <c r="E330" s="192"/>
      <c r="F330" s="192"/>
      <c r="G330" s="221">
        <f>SUM(G331:G332)</f>
        <v>0</v>
      </c>
      <c r="H330" s="221">
        <f>SUM(H331:H332)</f>
        <v>21036.560000000001</v>
      </c>
      <c r="I330" s="221">
        <f>SUM(I331:I332)</f>
        <v>0</v>
      </c>
    </row>
    <row r="331" spans="1:9" hidden="1" x14ac:dyDescent="0.25">
      <c r="A331" s="217"/>
      <c r="B331" s="160" t="s">
        <v>225</v>
      </c>
      <c r="C331" s="217"/>
      <c r="D331" s="217" t="s">
        <v>226</v>
      </c>
      <c r="E331" s="217"/>
      <c r="F331" s="217"/>
      <c r="G331" s="222"/>
      <c r="H331" s="222">
        <v>0</v>
      </c>
      <c r="I331" s="222">
        <v>0</v>
      </c>
    </row>
    <row r="332" spans="1:9" hidden="1" x14ac:dyDescent="0.25">
      <c r="A332" s="217"/>
      <c r="B332" s="160">
        <v>3132</v>
      </c>
      <c r="C332" s="217"/>
      <c r="D332" s="217" t="s">
        <v>101</v>
      </c>
      <c r="E332" s="217"/>
      <c r="F332" s="217"/>
      <c r="G332" s="222"/>
      <c r="H332" s="222">
        <v>21036.560000000001</v>
      </c>
      <c r="I332" s="222">
        <v>0</v>
      </c>
    </row>
    <row r="333" spans="1:9" hidden="1" x14ac:dyDescent="0.25">
      <c r="A333" s="192"/>
      <c r="B333" s="133">
        <v>32</v>
      </c>
      <c r="C333" s="203"/>
      <c r="D333" s="216" t="s">
        <v>102</v>
      </c>
      <c r="E333" s="216"/>
      <c r="F333" s="216"/>
      <c r="G333" s="136">
        <f>G334+G337+G339</f>
        <v>0</v>
      </c>
      <c r="H333" s="136">
        <f>H334+H337+H339</f>
        <v>7299.75</v>
      </c>
      <c r="I333" s="136">
        <f>I334+I337+I339</f>
        <v>0</v>
      </c>
    </row>
    <row r="334" spans="1:9" hidden="1" x14ac:dyDescent="0.25">
      <c r="A334" s="192"/>
      <c r="B334" s="152">
        <v>321</v>
      </c>
      <c r="C334" s="192"/>
      <c r="D334" s="192" t="s">
        <v>103</v>
      </c>
      <c r="E334" s="192"/>
      <c r="F334" s="192"/>
      <c r="G334" s="155">
        <f>SUM(G335:G336)</f>
        <v>0</v>
      </c>
      <c r="H334" s="155">
        <f>SUM(H335:H336)</f>
        <v>7299.75</v>
      </c>
      <c r="I334" s="155">
        <f>SUM(I335:I336)</f>
        <v>0</v>
      </c>
    </row>
    <row r="335" spans="1:9" hidden="1" x14ac:dyDescent="0.25">
      <c r="A335" s="217"/>
      <c r="B335" s="218" t="s">
        <v>104</v>
      </c>
      <c r="C335" s="217"/>
      <c r="D335" s="217" t="s">
        <v>105</v>
      </c>
      <c r="E335" s="217"/>
      <c r="F335" s="217"/>
      <c r="G335" s="163">
        <v>0</v>
      </c>
      <c r="H335" s="163">
        <v>663.61</v>
      </c>
      <c r="I335" s="163">
        <v>0</v>
      </c>
    </row>
    <row r="336" spans="1:9" hidden="1" x14ac:dyDescent="0.25">
      <c r="A336" s="217"/>
      <c r="B336" s="218" t="s">
        <v>106</v>
      </c>
      <c r="C336" s="217"/>
      <c r="D336" s="224" t="s">
        <v>107</v>
      </c>
      <c r="E336" s="224"/>
      <c r="F336" s="224"/>
      <c r="G336" s="163"/>
      <c r="H336" s="163">
        <v>6636.14</v>
      </c>
      <c r="I336" s="163">
        <v>0</v>
      </c>
    </row>
    <row r="337" spans="1:9" hidden="1" x14ac:dyDescent="0.25">
      <c r="A337" s="192"/>
      <c r="B337" s="152" t="s">
        <v>112</v>
      </c>
      <c r="C337" s="192"/>
      <c r="D337" s="226" t="s">
        <v>113</v>
      </c>
      <c r="E337" s="226"/>
      <c r="F337" s="226"/>
      <c r="G337" s="155">
        <f>SUM(G338:G338)</f>
        <v>0</v>
      </c>
      <c r="H337" s="155">
        <f>SUM(H338:H338)</f>
        <v>0</v>
      </c>
      <c r="I337" s="155">
        <f>SUM(I338:I338)</f>
        <v>0</v>
      </c>
    </row>
    <row r="338" spans="1:9" hidden="1" x14ac:dyDescent="0.25">
      <c r="A338" s="192"/>
      <c r="B338" s="218" t="s">
        <v>118</v>
      </c>
      <c r="C338" s="192"/>
      <c r="D338" s="217" t="s">
        <v>119</v>
      </c>
      <c r="E338" s="217"/>
      <c r="F338" s="217"/>
      <c r="G338" s="163"/>
      <c r="H338" s="163">
        <v>0</v>
      </c>
      <c r="I338" s="163">
        <v>0</v>
      </c>
    </row>
    <row r="339" spans="1:9" hidden="1" x14ac:dyDescent="0.25">
      <c r="A339" s="192"/>
      <c r="B339" s="152" t="s">
        <v>126</v>
      </c>
      <c r="C339" s="192"/>
      <c r="D339" s="226" t="s">
        <v>127</v>
      </c>
      <c r="E339" s="226"/>
      <c r="F339" s="226"/>
      <c r="G339" s="155">
        <f>SUM(G340:G340)</f>
        <v>0</v>
      </c>
      <c r="H339" s="155">
        <f>SUM(H340:H340)</f>
        <v>0</v>
      </c>
      <c r="I339" s="155">
        <f>SUM(I340:I340)</f>
        <v>0</v>
      </c>
    </row>
    <row r="340" spans="1:9" hidden="1" x14ac:dyDescent="0.25">
      <c r="A340" s="192"/>
      <c r="B340" s="218" t="s">
        <v>132</v>
      </c>
      <c r="C340" s="192"/>
      <c r="D340" s="224" t="s">
        <v>133</v>
      </c>
      <c r="E340" s="224"/>
      <c r="F340" s="224"/>
      <c r="G340" s="163">
        <v>0</v>
      </c>
      <c r="H340" s="163">
        <v>0</v>
      </c>
      <c r="I340" s="163">
        <v>0</v>
      </c>
    </row>
    <row r="341" spans="1:9" hidden="1" x14ac:dyDescent="0.25">
      <c r="A341" s="238">
        <v>4</v>
      </c>
      <c r="B341" s="239"/>
      <c r="C341" s="240"/>
      <c r="D341" s="241" t="s">
        <v>174</v>
      </c>
      <c r="E341" s="241"/>
      <c r="F341" s="241"/>
      <c r="G341" s="202">
        <f t="shared" ref="G341:I343" si="66">G342</f>
        <v>0</v>
      </c>
      <c r="H341" s="202">
        <f t="shared" si="66"/>
        <v>152631.23000000001</v>
      </c>
      <c r="I341" s="202">
        <f t="shared" si="66"/>
        <v>0</v>
      </c>
    </row>
    <row r="342" spans="1:9" hidden="1" x14ac:dyDescent="0.25">
      <c r="A342" s="192"/>
      <c r="B342" s="133" t="s">
        <v>196</v>
      </c>
      <c r="C342" s="203"/>
      <c r="D342" s="242" t="s">
        <v>197</v>
      </c>
      <c r="E342" s="242"/>
      <c r="F342" s="242"/>
      <c r="G342" s="168">
        <f t="shared" si="66"/>
        <v>0</v>
      </c>
      <c r="H342" s="168">
        <f t="shared" si="66"/>
        <v>152631.23000000001</v>
      </c>
      <c r="I342" s="168">
        <f t="shared" si="66"/>
        <v>0</v>
      </c>
    </row>
    <row r="343" spans="1:9" hidden="1" x14ac:dyDescent="0.25">
      <c r="A343" s="192"/>
      <c r="B343" s="152" t="s">
        <v>198</v>
      </c>
      <c r="C343" s="192"/>
      <c r="D343" s="192" t="s">
        <v>199</v>
      </c>
      <c r="E343" s="192"/>
      <c r="F343" s="192"/>
      <c r="G343" s="155">
        <f t="shared" si="66"/>
        <v>0</v>
      </c>
      <c r="H343" s="155">
        <f t="shared" si="66"/>
        <v>152631.23000000001</v>
      </c>
      <c r="I343" s="155">
        <f t="shared" si="66"/>
        <v>0</v>
      </c>
    </row>
    <row r="344" spans="1:9" hidden="1" x14ac:dyDescent="0.25">
      <c r="A344" s="192"/>
      <c r="B344" s="218" t="s">
        <v>200</v>
      </c>
      <c r="C344" s="217"/>
      <c r="D344" s="217" t="s">
        <v>199</v>
      </c>
      <c r="E344" s="217"/>
      <c r="F344" s="217"/>
      <c r="G344" s="163">
        <v>0</v>
      </c>
      <c r="H344" s="163">
        <v>152631.23000000001</v>
      </c>
      <c r="I344" s="163">
        <v>0</v>
      </c>
    </row>
    <row r="345" spans="1:9" hidden="1" x14ac:dyDescent="0.25">
      <c r="A345" s="247"/>
      <c r="B345" s="248"/>
      <c r="C345" s="262">
        <v>52</v>
      </c>
      <c r="D345" s="263" t="s">
        <v>227</v>
      </c>
      <c r="E345" s="263"/>
      <c r="F345" s="263"/>
      <c r="G345" s="264">
        <f>G323+G341</f>
        <v>0</v>
      </c>
      <c r="H345" s="264">
        <f>H323+H341</f>
        <v>291990.18000000005</v>
      </c>
      <c r="I345" s="264">
        <f>I323</f>
        <v>0</v>
      </c>
    </row>
    <row r="346" spans="1:9" hidden="1" x14ac:dyDescent="0.25">
      <c r="A346" s="212" t="s">
        <v>86</v>
      </c>
      <c r="B346" s="212"/>
      <c r="C346" s="213"/>
      <c r="D346" s="214" t="s">
        <v>87</v>
      </c>
      <c r="E346" s="214"/>
      <c r="F346" s="214"/>
      <c r="G346" s="274">
        <f>G347</f>
        <v>0</v>
      </c>
      <c r="H346" s="274">
        <f>H347</f>
        <v>27208.170000000002</v>
      </c>
      <c r="I346" s="274">
        <f>I347</f>
        <v>0</v>
      </c>
    </row>
    <row r="347" spans="1:9" hidden="1" x14ac:dyDescent="0.25">
      <c r="A347" s="192"/>
      <c r="B347" s="133">
        <v>32</v>
      </c>
      <c r="C347" s="203"/>
      <c r="D347" s="216" t="s">
        <v>102</v>
      </c>
      <c r="E347" s="216"/>
      <c r="F347" s="216"/>
      <c r="G347" s="168">
        <f>G348</f>
        <v>0</v>
      </c>
      <c r="H347" s="168">
        <f>H348+H351</f>
        <v>27208.170000000002</v>
      </c>
      <c r="I347" s="168">
        <f>I348+I351</f>
        <v>0</v>
      </c>
    </row>
    <row r="348" spans="1:9" hidden="1" x14ac:dyDescent="0.25">
      <c r="A348" s="192"/>
      <c r="B348" s="152">
        <v>321</v>
      </c>
      <c r="C348" s="192"/>
      <c r="D348" s="192" t="s">
        <v>103</v>
      </c>
      <c r="E348" s="192"/>
      <c r="F348" s="192"/>
      <c r="G348" s="155">
        <f>G350</f>
        <v>0</v>
      </c>
      <c r="H348" s="155">
        <f>H350+H349</f>
        <v>663.61</v>
      </c>
      <c r="I348" s="155">
        <f>I350+I349</f>
        <v>0</v>
      </c>
    </row>
    <row r="349" spans="1:9" hidden="1" x14ac:dyDescent="0.25">
      <c r="A349" s="217"/>
      <c r="B349" s="218" t="s">
        <v>104</v>
      </c>
      <c r="C349" s="217"/>
      <c r="D349" s="217" t="s">
        <v>105</v>
      </c>
      <c r="E349" s="217"/>
      <c r="F349" s="217"/>
      <c r="G349" s="163">
        <v>0</v>
      </c>
      <c r="H349" s="163">
        <v>663.61</v>
      </c>
      <c r="I349" s="163">
        <v>0</v>
      </c>
    </row>
    <row r="350" spans="1:9" hidden="1" x14ac:dyDescent="0.25">
      <c r="A350" s="217"/>
      <c r="B350" s="218" t="s">
        <v>108</v>
      </c>
      <c r="C350" s="217"/>
      <c r="D350" s="217" t="s">
        <v>109</v>
      </c>
      <c r="E350" s="217"/>
      <c r="F350" s="217"/>
      <c r="G350" s="163"/>
      <c r="H350" s="163">
        <v>0</v>
      </c>
      <c r="I350" s="163">
        <v>0</v>
      </c>
    </row>
    <row r="351" spans="1:9" s="130" customFormat="1" hidden="1" x14ac:dyDescent="0.25">
      <c r="A351" s="192"/>
      <c r="B351" s="152" t="s">
        <v>112</v>
      </c>
      <c r="C351" s="192"/>
      <c r="D351" s="192" t="s">
        <v>113</v>
      </c>
      <c r="E351" s="192"/>
      <c r="F351" s="192"/>
      <c r="G351" s="155">
        <f>G352</f>
        <v>0</v>
      </c>
      <c r="H351" s="155">
        <f>H352</f>
        <v>26544.560000000001</v>
      </c>
      <c r="I351" s="155">
        <f>I352</f>
        <v>0</v>
      </c>
    </row>
    <row r="352" spans="1:9" hidden="1" x14ac:dyDescent="0.25">
      <c r="A352" s="217"/>
      <c r="B352" s="218" t="s">
        <v>116</v>
      </c>
      <c r="C352" s="217"/>
      <c r="D352" s="217" t="s">
        <v>117</v>
      </c>
      <c r="E352" s="217"/>
      <c r="F352" s="217"/>
      <c r="G352" s="163">
        <v>0</v>
      </c>
      <c r="H352" s="163">
        <v>26544.560000000001</v>
      </c>
      <c r="I352" s="163">
        <v>0</v>
      </c>
    </row>
    <row r="353" spans="1:9" hidden="1" x14ac:dyDescent="0.25">
      <c r="A353" s="275">
        <v>4</v>
      </c>
      <c r="B353" s="276"/>
      <c r="C353" s="277"/>
      <c r="D353" s="241" t="s">
        <v>174</v>
      </c>
      <c r="E353" s="241"/>
      <c r="F353" s="241"/>
      <c r="G353" s="202">
        <f t="shared" ref="G353:I354" si="67">G354</f>
        <v>0</v>
      </c>
      <c r="H353" s="202">
        <f t="shared" si="67"/>
        <v>92905.96</v>
      </c>
      <c r="I353" s="202">
        <f t="shared" si="67"/>
        <v>0</v>
      </c>
    </row>
    <row r="354" spans="1:9" hidden="1" x14ac:dyDescent="0.25">
      <c r="A354" s="278"/>
      <c r="B354" s="133">
        <v>42</v>
      </c>
      <c r="C354" s="203"/>
      <c r="D354" s="216" t="s">
        <v>183</v>
      </c>
      <c r="E354" s="216"/>
      <c r="F354" s="216"/>
      <c r="G354" s="168">
        <f t="shared" si="67"/>
        <v>0</v>
      </c>
      <c r="H354" s="168">
        <f t="shared" si="67"/>
        <v>92905.96</v>
      </c>
      <c r="I354" s="168">
        <f t="shared" si="67"/>
        <v>0</v>
      </c>
    </row>
    <row r="355" spans="1:9" hidden="1" x14ac:dyDescent="0.25">
      <c r="A355" s="279"/>
      <c r="B355" s="152">
        <v>422</v>
      </c>
      <c r="C355" s="192"/>
      <c r="D355" s="192" t="s">
        <v>184</v>
      </c>
      <c r="E355" s="192"/>
      <c r="F355" s="192"/>
      <c r="G355" s="159">
        <f>SUM(G356:G358)</f>
        <v>0</v>
      </c>
      <c r="H355" s="159">
        <f>SUM(H356:H359)</f>
        <v>92905.96</v>
      </c>
      <c r="I355" s="159">
        <f>SUM(I356:I359)</f>
        <v>0</v>
      </c>
    </row>
    <row r="356" spans="1:9" hidden="1" x14ac:dyDescent="0.25">
      <c r="A356" s="280"/>
      <c r="B356" s="218" t="s">
        <v>185</v>
      </c>
      <c r="C356" s="217"/>
      <c r="D356" s="217" t="s">
        <v>186</v>
      </c>
      <c r="E356" s="217"/>
      <c r="F356" s="217"/>
      <c r="G356" s="162"/>
      <c r="H356" s="162">
        <v>0</v>
      </c>
      <c r="I356" s="162">
        <v>0</v>
      </c>
    </row>
    <row r="357" spans="1:9" hidden="1" x14ac:dyDescent="0.25">
      <c r="A357" s="280"/>
      <c r="B357" s="218" t="s">
        <v>228</v>
      </c>
      <c r="C357" s="217"/>
      <c r="D357" s="217" t="s">
        <v>189</v>
      </c>
      <c r="E357" s="217"/>
      <c r="F357" s="217"/>
      <c r="G357" s="162"/>
      <c r="H357" s="162">
        <v>0</v>
      </c>
      <c r="I357" s="162">
        <v>0</v>
      </c>
    </row>
    <row r="358" spans="1:9" hidden="1" x14ac:dyDescent="0.25">
      <c r="A358" s="279"/>
      <c r="B358" s="218" t="s">
        <v>229</v>
      </c>
      <c r="C358" s="217"/>
      <c r="D358" s="217" t="s">
        <v>190</v>
      </c>
      <c r="E358" s="217"/>
      <c r="F358" s="217"/>
      <c r="G358" s="162"/>
      <c r="H358" s="162">
        <v>92905.96</v>
      </c>
      <c r="I358" s="162">
        <v>0</v>
      </c>
    </row>
    <row r="359" spans="1:9" hidden="1" x14ac:dyDescent="0.25">
      <c r="A359" s="279"/>
      <c r="B359" s="218" t="s">
        <v>230</v>
      </c>
      <c r="C359" s="217"/>
      <c r="D359" s="217" t="s">
        <v>191</v>
      </c>
      <c r="E359" s="217"/>
      <c r="F359" s="217"/>
      <c r="G359" s="162"/>
      <c r="H359" s="162">
        <v>0</v>
      </c>
      <c r="I359" s="162">
        <v>0</v>
      </c>
    </row>
    <row r="360" spans="1:9" hidden="1" x14ac:dyDescent="0.25">
      <c r="A360" s="281"/>
      <c r="B360" s="282"/>
      <c r="C360" s="262" t="s">
        <v>72</v>
      </c>
      <c r="D360" s="263" t="s">
        <v>73</v>
      </c>
      <c r="E360" s="263"/>
      <c r="F360" s="263"/>
      <c r="G360" s="149">
        <f>G353+G346</f>
        <v>0</v>
      </c>
      <c r="H360" s="149">
        <f>H353+H346</f>
        <v>120114.13</v>
      </c>
      <c r="I360" s="149">
        <f>I353+I346</f>
        <v>0</v>
      </c>
    </row>
    <row r="361" spans="1:9" hidden="1" x14ac:dyDescent="0.25">
      <c r="A361" s="212" t="s">
        <v>86</v>
      </c>
      <c r="B361" s="212"/>
      <c r="C361" s="213"/>
      <c r="D361" s="214" t="s">
        <v>87</v>
      </c>
      <c r="E361" s="214"/>
      <c r="F361" s="214"/>
      <c r="G361" s="37">
        <f>SUM(G365,G362,G367)</f>
        <v>0</v>
      </c>
      <c r="H361" s="37">
        <f>SUM(H365,H362)</f>
        <v>9954.2100000000009</v>
      </c>
      <c r="I361" s="37">
        <f>SUM(I365,I362)</f>
        <v>0</v>
      </c>
    </row>
    <row r="362" spans="1:9" s="130" customFormat="1" hidden="1" x14ac:dyDescent="0.25">
      <c r="A362" s="283"/>
      <c r="B362" s="284" t="s">
        <v>112</v>
      </c>
      <c r="C362" s="285"/>
      <c r="D362" s="286" t="s">
        <v>113</v>
      </c>
      <c r="E362" s="286"/>
      <c r="F362" s="286"/>
      <c r="G362" s="46">
        <f>G363</f>
        <v>0</v>
      </c>
      <c r="H362" s="46">
        <f>H363</f>
        <v>6636.14</v>
      </c>
      <c r="I362" s="46">
        <f>SUM(I363:I364)</f>
        <v>0</v>
      </c>
    </row>
    <row r="363" spans="1:9" hidden="1" x14ac:dyDescent="0.25">
      <c r="A363" s="287"/>
      <c r="B363" s="288" t="s">
        <v>116</v>
      </c>
      <c r="C363" s="289"/>
      <c r="D363" s="290" t="s">
        <v>117</v>
      </c>
      <c r="E363" s="290"/>
      <c r="F363" s="290"/>
      <c r="G363" s="81">
        <v>0</v>
      </c>
      <c r="H363" s="81">
        <v>6636.14</v>
      </c>
      <c r="I363" s="81">
        <v>0</v>
      </c>
    </row>
    <row r="364" spans="1:9" hidden="1" x14ac:dyDescent="0.25">
      <c r="A364" s="287"/>
      <c r="B364" s="288" t="s">
        <v>120</v>
      </c>
      <c r="C364" s="217"/>
      <c r="D364" s="291" t="s">
        <v>121</v>
      </c>
      <c r="E364" s="291"/>
      <c r="F364" s="291"/>
      <c r="G364" s="81"/>
      <c r="H364" s="81"/>
      <c r="I364" s="81">
        <v>0</v>
      </c>
    </row>
    <row r="365" spans="1:9" hidden="1" x14ac:dyDescent="0.25">
      <c r="A365" s="281"/>
      <c r="B365" s="292" t="s">
        <v>126</v>
      </c>
      <c r="C365" s="293"/>
      <c r="D365" s="294" t="s">
        <v>127</v>
      </c>
      <c r="E365" s="294"/>
      <c r="F365" s="294"/>
      <c r="G365" s="46">
        <f>SUM(G366)</f>
        <v>0</v>
      </c>
      <c r="H365" s="46">
        <f>SUM(H366)</f>
        <v>3318.07</v>
      </c>
      <c r="I365" s="46">
        <f>SUM(I366)</f>
        <v>0</v>
      </c>
    </row>
    <row r="366" spans="1:9" hidden="1" x14ac:dyDescent="0.25">
      <c r="A366" s="281"/>
      <c r="B366" s="295" t="s">
        <v>130</v>
      </c>
      <c r="C366" s="296"/>
      <c r="D366" s="297" t="s">
        <v>131</v>
      </c>
      <c r="E366" s="297"/>
      <c r="F366" s="297"/>
      <c r="G366" s="81"/>
      <c r="H366" s="81">
        <v>3318.07</v>
      </c>
      <c r="I366" s="81">
        <v>0</v>
      </c>
    </row>
    <row r="367" spans="1:9" s="130" customFormat="1" hidden="1" x14ac:dyDescent="0.25">
      <c r="A367" s="281"/>
      <c r="B367" s="292" t="s">
        <v>219</v>
      </c>
      <c r="C367" s="296"/>
      <c r="D367" s="294" t="s">
        <v>220</v>
      </c>
      <c r="E367" s="294"/>
      <c r="F367" s="294"/>
      <c r="G367" s="46">
        <f>G368</f>
        <v>0</v>
      </c>
      <c r="H367" s="46">
        <f>H368</f>
        <v>0</v>
      </c>
      <c r="I367" s="46">
        <f>I368</f>
        <v>0</v>
      </c>
    </row>
    <row r="368" spans="1:9" hidden="1" x14ac:dyDescent="0.25">
      <c r="A368" s="281"/>
      <c r="B368" s="295" t="s">
        <v>231</v>
      </c>
      <c r="C368" s="296"/>
      <c r="D368" s="297" t="s">
        <v>147</v>
      </c>
      <c r="E368" s="297"/>
      <c r="F368" s="297"/>
      <c r="G368" s="81"/>
      <c r="H368" s="81">
        <v>0</v>
      </c>
      <c r="I368" s="81">
        <v>0</v>
      </c>
    </row>
    <row r="369" spans="1:9" hidden="1" x14ac:dyDescent="0.25">
      <c r="A369" s="275">
        <v>4</v>
      </c>
      <c r="B369" s="298"/>
      <c r="C369" s="298"/>
      <c r="D369" s="241" t="s">
        <v>174</v>
      </c>
      <c r="E369" s="241"/>
      <c r="F369" s="241"/>
      <c r="G369" s="299">
        <f>G370</f>
        <v>0</v>
      </c>
      <c r="H369" s="299">
        <f>H370</f>
        <v>796.34</v>
      </c>
      <c r="I369" s="299">
        <f>I370</f>
        <v>0</v>
      </c>
    </row>
    <row r="370" spans="1:9" hidden="1" x14ac:dyDescent="0.25">
      <c r="A370" s="192"/>
      <c r="B370" s="133">
        <v>42</v>
      </c>
      <c r="C370" s="203"/>
      <c r="D370" s="216" t="s">
        <v>183</v>
      </c>
      <c r="E370" s="216"/>
      <c r="F370" s="216"/>
      <c r="G370" s="136">
        <f t="shared" ref="G370:I373" si="68">SUM(G371)</f>
        <v>0</v>
      </c>
      <c r="H370" s="136">
        <f t="shared" si="68"/>
        <v>796.34</v>
      </c>
      <c r="I370" s="136">
        <f>SUM(I371,I373)</f>
        <v>0</v>
      </c>
    </row>
    <row r="371" spans="1:9" hidden="1" x14ac:dyDescent="0.25">
      <c r="A371" s="300"/>
      <c r="B371" s="152">
        <v>422</v>
      </c>
      <c r="C371" s="192"/>
      <c r="D371" s="192" t="s">
        <v>184</v>
      </c>
      <c r="E371" s="192"/>
      <c r="F371" s="192"/>
      <c r="G371" s="159">
        <f t="shared" si="68"/>
        <v>0</v>
      </c>
      <c r="H371" s="159">
        <f t="shared" si="68"/>
        <v>796.34</v>
      </c>
      <c r="I371" s="159">
        <f t="shared" si="68"/>
        <v>0</v>
      </c>
    </row>
    <row r="372" spans="1:9" hidden="1" x14ac:dyDescent="0.25">
      <c r="A372" s="301"/>
      <c r="B372" s="218" t="s">
        <v>229</v>
      </c>
      <c r="C372" s="217"/>
      <c r="D372" s="217" t="s">
        <v>190</v>
      </c>
      <c r="E372" s="217"/>
      <c r="F372" s="217"/>
      <c r="G372" s="162"/>
      <c r="H372" s="162">
        <v>796.34</v>
      </c>
      <c r="I372" s="162">
        <v>0</v>
      </c>
    </row>
    <row r="373" spans="1:9" hidden="1" x14ac:dyDescent="0.25">
      <c r="A373" s="302"/>
      <c r="B373" s="303" t="s">
        <v>232</v>
      </c>
      <c r="C373" s="205"/>
      <c r="D373" s="205" t="s">
        <v>194</v>
      </c>
      <c r="E373" s="205"/>
      <c r="F373" s="205"/>
      <c r="G373" s="304"/>
      <c r="H373" s="159">
        <f t="shared" si="68"/>
        <v>0</v>
      </c>
      <c r="I373" s="159">
        <f t="shared" si="68"/>
        <v>0</v>
      </c>
    </row>
    <row r="374" spans="1:9" hidden="1" x14ac:dyDescent="0.25">
      <c r="A374" s="302"/>
      <c r="B374" s="305" t="s">
        <v>233</v>
      </c>
      <c r="C374" s="306"/>
      <c r="D374" s="306" t="s">
        <v>195</v>
      </c>
      <c r="E374" s="306"/>
      <c r="F374" s="306"/>
      <c r="G374" s="307"/>
      <c r="H374" s="307"/>
      <c r="I374" s="307">
        <v>0</v>
      </c>
    </row>
    <row r="375" spans="1:9" ht="31.5" hidden="1" x14ac:dyDescent="0.25">
      <c r="A375" s="308"/>
      <c r="B375" s="309"/>
      <c r="C375" s="310" t="s">
        <v>234</v>
      </c>
      <c r="D375" s="311" t="s">
        <v>235</v>
      </c>
      <c r="E375" s="311"/>
      <c r="F375" s="311"/>
      <c r="G375" s="208">
        <f>SUM(G370,G361)</f>
        <v>0</v>
      </c>
      <c r="H375" s="312">
        <f>H361+H369</f>
        <v>10750.550000000001</v>
      </c>
      <c r="I375" s="312">
        <f>SUM(I370,I361)</f>
        <v>0</v>
      </c>
    </row>
    <row r="376" spans="1:9" ht="16.5" hidden="1" thickBot="1" x14ac:dyDescent="0.3">
      <c r="A376" s="583" t="s">
        <v>236</v>
      </c>
      <c r="B376" s="584"/>
      <c r="C376" s="584"/>
      <c r="D376" s="585"/>
      <c r="E376" s="115"/>
      <c r="F376" s="115"/>
      <c r="G376" s="119">
        <f>G130+G194+G218+G275+G294+G323+G341+G346+G353+G361+G369</f>
        <v>0</v>
      </c>
      <c r="H376" s="119">
        <f>H130+H194+H218+H275+H294+H323+H341+H346+H353+H361+H369</f>
        <v>65101801.729999997</v>
      </c>
      <c r="I376" s="119">
        <f>I130+I194+I218+I275+I294+I323+I346+I353+I361+I369+I319+I341</f>
        <v>0</v>
      </c>
    </row>
    <row r="377" spans="1:9" hidden="1" x14ac:dyDescent="0.25">
      <c r="D377" s="225"/>
      <c r="E377" s="225"/>
      <c r="F377" s="225"/>
      <c r="H377" s="314" t="s">
        <v>237</v>
      </c>
      <c r="I377" s="315"/>
    </row>
    <row r="378" spans="1:9" hidden="1" x14ac:dyDescent="0.25">
      <c r="H378" s="316"/>
      <c r="I378" s="317">
        <f>I376+I377</f>
        <v>0</v>
      </c>
    </row>
    <row r="379" spans="1:9" hidden="1" x14ac:dyDescent="0.25"/>
    <row r="380" spans="1:9" hidden="1" x14ac:dyDescent="0.25">
      <c r="D380" s="164"/>
      <c r="E380" s="164"/>
      <c r="F380" s="164"/>
      <c r="G380" s="318"/>
      <c r="I380" s="319">
        <f>I123-I378</f>
        <v>0</v>
      </c>
    </row>
    <row r="381" spans="1:9" hidden="1" x14ac:dyDescent="0.25">
      <c r="D381" s="164"/>
      <c r="E381" s="164"/>
      <c r="F381" s="164"/>
      <c r="G381" s="318"/>
      <c r="H381" s="190"/>
    </row>
    <row r="382" spans="1:9" x14ac:dyDescent="0.25">
      <c r="D382" s="225"/>
      <c r="E382" s="225"/>
      <c r="F382" s="225"/>
      <c r="G382" s="318"/>
    </row>
  </sheetData>
  <mergeCells count="7">
    <mergeCell ref="A376:D376"/>
    <mergeCell ref="A1:I1"/>
    <mergeCell ref="A2:I2"/>
    <mergeCell ref="A3:I3"/>
    <mergeCell ref="A5:I5"/>
    <mergeCell ref="A7:D7"/>
    <mergeCell ref="A122:D122"/>
  </mergeCells>
  <pageMargins left="0.74803149606299213" right="0.74803149606299213" top="0.98425196850393704" bottom="0.98425196850393704" header="0.51181102362204722" footer="0.51181102362204722"/>
  <pageSetup paperSize="9" scale="6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602"/>
  <sheetViews>
    <sheetView topLeftCell="A579" zoomScaleNormal="100" workbookViewId="0">
      <selection activeCell="G9" sqref="G9:I9"/>
    </sheetView>
  </sheetViews>
  <sheetFormatPr defaultRowHeight="15.75" x14ac:dyDescent="0.25"/>
  <cols>
    <col min="1" max="1" width="7.140625" style="117" bestFit="1" customWidth="1"/>
    <col min="2" max="2" width="8.42578125" style="117" customWidth="1"/>
    <col min="3" max="3" width="5.42578125" style="117" bestFit="1" customWidth="1"/>
    <col min="4" max="4" width="63.7109375" style="117" customWidth="1"/>
    <col min="5" max="6" width="20.28515625" style="117" hidden="1" customWidth="1"/>
    <col min="7" max="7" width="18.140625" style="313" bestFit="1" customWidth="1"/>
    <col min="8" max="8" width="18.85546875" style="117" customWidth="1"/>
    <col min="9" max="9" width="18.42578125" style="117" customWidth="1"/>
    <col min="10" max="16384" width="9.140625" style="117"/>
  </cols>
  <sheetData>
    <row r="1" spans="1:9" ht="31.5" customHeight="1" x14ac:dyDescent="0.25">
      <c r="A1" s="586" t="s">
        <v>0</v>
      </c>
      <c r="B1" s="586"/>
      <c r="C1" s="586"/>
      <c r="D1" s="586"/>
      <c r="E1" s="586"/>
      <c r="F1" s="586"/>
      <c r="G1" s="586"/>
      <c r="H1" s="586"/>
      <c r="I1" s="586"/>
    </row>
    <row r="2" spans="1:9" ht="31.5" customHeight="1" x14ac:dyDescent="0.25">
      <c r="A2" s="586" t="s">
        <v>285</v>
      </c>
      <c r="B2" s="586"/>
      <c r="C2" s="586"/>
      <c r="D2" s="586"/>
      <c r="E2" s="586"/>
      <c r="F2" s="586"/>
      <c r="G2" s="586"/>
      <c r="H2" s="586"/>
      <c r="I2" s="586"/>
    </row>
    <row r="3" spans="1:9" ht="31.5" customHeight="1" x14ac:dyDescent="0.25">
      <c r="A3" s="586" t="s">
        <v>382</v>
      </c>
      <c r="B3" s="586"/>
      <c r="C3" s="586"/>
      <c r="D3" s="586"/>
      <c r="E3" s="586"/>
      <c r="F3" s="586"/>
      <c r="G3" s="586"/>
      <c r="H3" s="586"/>
      <c r="I3" s="586"/>
    </row>
    <row r="4" spans="1:9" s="118" customFormat="1" x14ac:dyDescent="0.25">
      <c r="A4" s="210"/>
      <c r="B4" s="209"/>
      <c r="C4" s="209"/>
      <c r="D4" s="209"/>
      <c r="E4" s="209"/>
      <c r="F4" s="209"/>
      <c r="G4" s="211"/>
      <c r="H4" s="209"/>
      <c r="I4" s="209"/>
    </row>
    <row r="5" spans="1:9" s="131" customFormat="1" ht="15.75" customHeight="1" x14ac:dyDescent="0.25">
      <c r="A5" s="590" t="s">
        <v>82</v>
      </c>
      <c r="B5" s="590"/>
      <c r="C5" s="590"/>
      <c r="D5" s="590"/>
      <c r="E5" s="590"/>
      <c r="F5" s="590"/>
      <c r="G5" s="590"/>
      <c r="H5" s="590"/>
      <c r="I5" s="590"/>
    </row>
    <row r="6" spans="1:9" s="118" customFormat="1" ht="63" x14ac:dyDescent="0.25">
      <c r="A6" s="120" t="s">
        <v>3</v>
      </c>
      <c r="B6" s="120" t="s">
        <v>4</v>
      </c>
      <c r="C6" s="121" t="s">
        <v>5</v>
      </c>
      <c r="D6" s="122" t="s">
        <v>6</v>
      </c>
      <c r="E6" s="120" t="s">
        <v>556</v>
      </c>
      <c r="F6" s="120" t="s">
        <v>560</v>
      </c>
      <c r="G6" s="320" t="s">
        <v>558</v>
      </c>
      <c r="H6" s="113" t="s">
        <v>559</v>
      </c>
      <c r="I6" s="114" t="s">
        <v>557</v>
      </c>
    </row>
    <row r="7" spans="1:9" s="118" customFormat="1" x14ac:dyDescent="0.25">
      <c r="A7" s="588">
        <v>1</v>
      </c>
      <c r="B7" s="588"/>
      <c r="C7" s="588"/>
      <c r="D7" s="588"/>
      <c r="E7" s="123"/>
      <c r="F7" s="123"/>
      <c r="G7" s="324">
        <v>2</v>
      </c>
      <c r="H7" s="125">
        <v>3</v>
      </c>
      <c r="I7" s="125">
        <v>4</v>
      </c>
    </row>
    <row r="8" spans="1:9" s="118" customFormat="1" x14ac:dyDescent="0.25">
      <c r="A8" s="325">
        <v>3</v>
      </c>
      <c r="B8" s="325"/>
      <c r="C8" s="325"/>
      <c r="D8" s="214" t="s">
        <v>87</v>
      </c>
      <c r="E8" s="326" t="e">
        <f>E11+E241+E104+E450+E549+E579</f>
        <v>#REF!</v>
      </c>
      <c r="F8" s="326" t="e">
        <f>F11+F241+F104+F450+F549+F579</f>
        <v>#REF!</v>
      </c>
      <c r="G8" s="326">
        <f>G11+G241+G104+G450+G492+G513+G549+G579</f>
        <v>26300527.960000001</v>
      </c>
      <c r="H8" s="326">
        <f>H11+H241+H104+H450+H492+H513+H549+H579</f>
        <v>26565803.32</v>
      </c>
      <c r="I8" s="326">
        <f>I11+I241+I104+I450+I492+I513+I549+I579</f>
        <v>26806376.339999996</v>
      </c>
    </row>
    <row r="9" spans="1:9" s="118" customFormat="1" x14ac:dyDescent="0.25">
      <c r="A9" s="325">
        <v>4</v>
      </c>
      <c r="B9" s="325"/>
      <c r="C9" s="325"/>
      <c r="D9" s="327" t="s">
        <v>174</v>
      </c>
      <c r="E9" s="326" t="e">
        <f>E69+E414+E218+E485+#REF!+E566+E591</f>
        <v>#REF!</v>
      </c>
      <c r="F9" s="326" t="e">
        <f>F69+F414+F218+F485+#REF!+F566+F591</f>
        <v>#REF!</v>
      </c>
      <c r="G9" s="326">
        <f>G69+G414+G218+G485+G566+G591</f>
        <v>854875.27</v>
      </c>
      <c r="H9" s="326">
        <f t="shared" ref="H9:I9" si="0">H69+H414+H218+H485+H566+H591</f>
        <v>857825.27</v>
      </c>
      <c r="I9" s="326">
        <f t="shared" si="0"/>
        <v>860775.27</v>
      </c>
    </row>
    <row r="10" spans="1:9" s="118" customFormat="1" x14ac:dyDescent="0.25">
      <c r="A10" s="328"/>
      <c r="B10" s="328"/>
      <c r="C10" s="328"/>
      <c r="D10" s="329" t="s">
        <v>314</v>
      </c>
      <c r="E10" s="330"/>
      <c r="F10" s="330"/>
      <c r="G10" s="330"/>
      <c r="H10" s="330"/>
      <c r="I10" s="330"/>
    </row>
    <row r="11" spans="1:9" s="118" customFormat="1" x14ac:dyDescent="0.25">
      <c r="A11" s="212" t="s">
        <v>86</v>
      </c>
      <c r="B11" s="212"/>
      <c r="C11" s="213"/>
      <c r="D11" s="214" t="s">
        <v>87</v>
      </c>
      <c r="E11" s="215" t="e">
        <f t="shared" ref="E11:I11" si="1">E12+E19</f>
        <v>#REF!</v>
      </c>
      <c r="F11" s="215" t="e">
        <f t="shared" si="1"/>
        <v>#REF!</v>
      </c>
      <c r="G11" s="215">
        <f t="shared" si="1"/>
        <v>481103.03</v>
      </c>
      <c r="H11" s="215">
        <f t="shared" si="1"/>
        <v>481103.03</v>
      </c>
      <c r="I11" s="215">
        <f t="shared" si="1"/>
        <v>481103.03</v>
      </c>
    </row>
    <row r="12" spans="1:9" s="118" customFormat="1" x14ac:dyDescent="0.25">
      <c r="A12" s="192"/>
      <c r="B12" s="133">
        <v>31</v>
      </c>
      <c r="C12" s="203"/>
      <c r="D12" s="216" t="s">
        <v>88</v>
      </c>
      <c r="E12" s="136" t="e">
        <f t="shared" ref="E12:I12" si="2">E13+E16</f>
        <v>#REF!</v>
      </c>
      <c r="F12" s="136" t="e">
        <f t="shared" si="2"/>
        <v>#REF!</v>
      </c>
      <c r="G12" s="136">
        <f t="shared" si="2"/>
        <v>6978.0199999999995</v>
      </c>
      <c r="H12" s="136">
        <f t="shared" si="2"/>
        <v>6978.0199999999995</v>
      </c>
      <c r="I12" s="136">
        <f t="shared" si="2"/>
        <v>6978.0199999999995</v>
      </c>
    </row>
    <row r="13" spans="1:9" s="131" customFormat="1" x14ac:dyDescent="0.25">
      <c r="A13" s="192"/>
      <c r="B13" s="152">
        <v>311</v>
      </c>
      <c r="C13" s="217"/>
      <c r="D13" s="192" t="s">
        <v>89</v>
      </c>
      <c r="E13" s="155" t="e">
        <f t="shared" ref="E13:I14" si="3">SUM(E14)</f>
        <v>#REF!</v>
      </c>
      <c r="F13" s="155" t="e">
        <f t="shared" si="3"/>
        <v>#REF!</v>
      </c>
      <c r="G13" s="155">
        <f t="shared" si="3"/>
        <v>5989.73</v>
      </c>
      <c r="H13" s="155">
        <f t="shared" si="3"/>
        <v>5989.73</v>
      </c>
      <c r="I13" s="155">
        <f t="shared" si="3"/>
        <v>5989.73</v>
      </c>
    </row>
    <row r="14" spans="1:9" s="131" customFormat="1" x14ac:dyDescent="0.25">
      <c r="A14" s="192"/>
      <c r="B14" s="152">
        <v>3111</v>
      </c>
      <c r="C14" s="192"/>
      <c r="D14" s="192" t="s">
        <v>90</v>
      </c>
      <c r="E14" s="155" t="e">
        <f t="shared" si="3"/>
        <v>#REF!</v>
      </c>
      <c r="F14" s="155" t="e">
        <f t="shared" si="3"/>
        <v>#REF!</v>
      </c>
      <c r="G14" s="155">
        <f t="shared" si="3"/>
        <v>5989.73</v>
      </c>
      <c r="H14" s="155">
        <f t="shared" si="3"/>
        <v>5989.73</v>
      </c>
      <c r="I14" s="155">
        <f t="shared" si="3"/>
        <v>5989.73</v>
      </c>
    </row>
    <row r="15" spans="1:9" s="219" customFormat="1" x14ac:dyDescent="0.25">
      <c r="A15" s="217"/>
      <c r="B15" s="218" t="s">
        <v>484</v>
      </c>
      <c r="C15" s="217"/>
      <c r="D15" s="217" t="s">
        <v>90</v>
      </c>
      <c r="E15" s="163" t="e">
        <f>'Rekapitulacija Posebni dio'!#REF!+'Rekapitulacija Posebni dio'!C508+'Rekapitulacija Posebni dio'!#REF!</f>
        <v>#REF!</v>
      </c>
      <c r="F15" s="163" t="e">
        <f>'Rekapitulacija Posebni dio'!#REF!+'Rekapitulacija Posebni dio'!D508+'Rekapitulacija Posebni dio'!#REF!</f>
        <v>#REF!</v>
      </c>
      <c r="G15" s="163">
        <f>'Rekapitulacija Posebni dio'!E508+'Rekapitulacija Posebni dio'!E527</f>
        <v>5989.73</v>
      </c>
      <c r="H15" s="163">
        <f>'Rekapitulacija Posebni dio'!F508+'Rekapitulacija Posebni dio'!F527</f>
        <v>5989.73</v>
      </c>
      <c r="I15" s="163">
        <f>'Rekapitulacija Posebni dio'!G508+'Rekapitulacija Posebni dio'!G527</f>
        <v>5989.73</v>
      </c>
    </row>
    <row r="16" spans="1:9" s="219" customFormat="1" x14ac:dyDescent="0.25">
      <c r="A16" s="192"/>
      <c r="B16" s="156">
        <v>313</v>
      </c>
      <c r="C16" s="192"/>
      <c r="D16" s="192" t="s">
        <v>100</v>
      </c>
      <c r="E16" s="221" t="e">
        <f t="shared" ref="E16:I17" si="4">SUM(E17)</f>
        <v>#REF!</v>
      </c>
      <c r="F16" s="221" t="e">
        <f t="shared" si="4"/>
        <v>#REF!</v>
      </c>
      <c r="G16" s="221">
        <f t="shared" si="4"/>
        <v>988.29</v>
      </c>
      <c r="H16" s="221">
        <f t="shared" si="4"/>
        <v>988.29</v>
      </c>
      <c r="I16" s="221">
        <f t="shared" si="4"/>
        <v>988.29</v>
      </c>
    </row>
    <row r="17" spans="1:9" s="219" customFormat="1" x14ac:dyDescent="0.25">
      <c r="A17" s="192"/>
      <c r="B17" s="156">
        <v>3132</v>
      </c>
      <c r="C17" s="192"/>
      <c r="D17" s="192" t="s">
        <v>101</v>
      </c>
      <c r="E17" s="221" t="e">
        <f t="shared" si="4"/>
        <v>#REF!</v>
      </c>
      <c r="F17" s="221" t="e">
        <f t="shared" si="4"/>
        <v>#REF!</v>
      </c>
      <c r="G17" s="221">
        <f t="shared" si="4"/>
        <v>988.29</v>
      </c>
      <c r="H17" s="221">
        <f t="shared" si="4"/>
        <v>988.29</v>
      </c>
      <c r="I17" s="221">
        <f t="shared" si="4"/>
        <v>988.29</v>
      </c>
    </row>
    <row r="18" spans="1:9" s="118" customFormat="1" x14ac:dyDescent="0.25">
      <c r="A18" s="217"/>
      <c r="B18" s="160" t="s">
        <v>494</v>
      </c>
      <c r="C18" s="217"/>
      <c r="D18" s="217" t="s">
        <v>101</v>
      </c>
      <c r="E18" s="163" t="e">
        <f>'Rekapitulacija Posebni dio'!#REF!+'Rekapitulacija Posebni dio'!#REF!+'Rekapitulacija Posebni dio'!C513+'Rekapitulacija Posebni dio'!#REF!</f>
        <v>#REF!</v>
      </c>
      <c r="F18" s="163" t="e">
        <f>'Rekapitulacija Posebni dio'!#REF!+'Rekapitulacija Posebni dio'!#REF!+'Rekapitulacija Posebni dio'!D513+'Rekapitulacija Posebni dio'!#REF!</f>
        <v>#REF!</v>
      </c>
      <c r="G18" s="163">
        <f>'Rekapitulacija Posebni dio'!E513+'Rekapitulacija Posebni dio'!E532</f>
        <v>988.29</v>
      </c>
      <c r="H18" s="163">
        <f>'Rekapitulacija Posebni dio'!F513+'Rekapitulacija Posebni dio'!F532</f>
        <v>988.29</v>
      </c>
      <c r="I18" s="163">
        <f>'Rekapitulacija Posebni dio'!G513+'Rekapitulacija Posebni dio'!G532</f>
        <v>988.29</v>
      </c>
    </row>
    <row r="19" spans="1:9" s="118" customFormat="1" x14ac:dyDescent="0.25">
      <c r="A19" s="192"/>
      <c r="B19" s="133">
        <v>32</v>
      </c>
      <c r="C19" s="203"/>
      <c r="D19" s="216" t="s">
        <v>102</v>
      </c>
      <c r="E19" s="136" t="e">
        <f>E20+E26+E41+E58+E62</f>
        <v>#REF!</v>
      </c>
      <c r="F19" s="136" t="e">
        <f>F20+F26+F41+F58+F62</f>
        <v>#REF!</v>
      </c>
      <c r="G19" s="136">
        <f>G20+G26+G41+G58+G62</f>
        <v>474125.01</v>
      </c>
      <c r="H19" s="136">
        <f>H20+H26+H41+H58+H62</f>
        <v>474125.01</v>
      </c>
      <c r="I19" s="136">
        <f>I20+I26+I41+I58+I62</f>
        <v>474125.01</v>
      </c>
    </row>
    <row r="20" spans="1:9" s="118" customFormat="1" x14ac:dyDescent="0.25">
      <c r="A20" s="300"/>
      <c r="B20" s="137" t="s">
        <v>215</v>
      </c>
      <c r="C20" s="300"/>
      <c r="D20" s="505" t="s">
        <v>103</v>
      </c>
      <c r="E20" s="140" t="e">
        <f>E21+E24</f>
        <v>#REF!</v>
      </c>
      <c r="F20" s="140" t="e">
        <f t="shared" ref="F20:I20" si="5">F21+F24</f>
        <v>#REF!</v>
      </c>
      <c r="G20" s="140">
        <f t="shared" si="5"/>
        <v>4200</v>
      </c>
      <c r="H20" s="140">
        <f t="shared" si="5"/>
        <v>4200</v>
      </c>
      <c r="I20" s="140">
        <f t="shared" si="5"/>
        <v>4200</v>
      </c>
    </row>
    <row r="21" spans="1:9" s="118" customFormat="1" x14ac:dyDescent="0.25">
      <c r="A21" s="300"/>
      <c r="B21" s="137" t="s">
        <v>104</v>
      </c>
      <c r="C21" s="300"/>
      <c r="D21" s="505" t="s">
        <v>105</v>
      </c>
      <c r="E21" s="140">
        <f>E22+E23</f>
        <v>0</v>
      </c>
      <c r="F21" s="140">
        <f t="shared" ref="F21:I21" si="6">F22+F23</f>
        <v>0</v>
      </c>
      <c r="G21" s="140">
        <f t="shared" si="6"/>
        <v>470</v>
      </c>
      <c r="H21" s="140">
        <f t="shared" si="6"/>
        <v>470</v>
      </c>
      <c r="I21" s="140">
        <f t="shared" si="6"/>
        <v>470</v>
      </c>
    </row>
    <row r="22" spans="1:9" s="118" customFormat="1" x14ac:dyDescent="0.25">
      <c r="A22" s="301"/>
      <c r="B22" s="141" t="s">
        <v>525</v>
      </c>
      <c r="C22" s="301"/>
      <c r="D22" s="506" t="s">
        <v>407</v>
      </c>
      <c r="E22" s="144">
        <f>'Rekapitulacija Posebni dio'!C536</f>
        <v>0</v>
      </c>
      <c r="F22" s="144">
        <f>'Rekapitulacija Posebni dio'!D536</f>
        <v>0</v>
      </c>
      <c r="G22" s="144">
        <f>'Rekapitulacija Posebni dio'!E536</f>
        <v>400</v>
      </c>
      <c r="H22" s="144">
        <f>'Rekapitulacija Posebni dio'!F536</f>
        <v>400</v>
      </c>
      <c r="I22" s="144">
        <f>'Rekapitulacija Posebni dio'!G536</f>
        <v>400</v>
      </c>
    </row>
    <row r="23" spans="1:9" s="118" customFormat="1" x14ac:dyDescent="0.25">
      <c r="A23" s="301"/>
      <c r="B23" s="141" t="s">
        <v>592</v>
      </c>
      <c r="C23" s="301"/>
      <c r="D23" s="506" t="s">
        <v>593</v>
      </c>
      <c r="E23" s="144">
        <f>'Rekapitulacija Posebni dio'!C537</f>
        <v>0</v>
      </c>
      <c r="F23" s="144">
        <f>'Rekapitulacija Posebni dio'!D537</f>
        <v>0</v>
      </c>
      <c r="G23" s="144">
        <f>'Rekapitulacija Posebni dio'!E537</f>
        <v>70</v>
      </c>
      <c r="H23" s="144">
        <f>'Rekapitulacija Posebni dio'!F537</f>
        <v>70</v>
      </c>
      <c r="I23" s="144">
        <f>'Rekapitulacija Posebni dio'!G537</f>
        <v>70</v>
      </c>
    </row>
    <row r="24" spans="1:9" s="118" customFormat="1" x14ac:dyDescent="0.25">
      <c r="A24" s="300"/>
      <c r="B24" s="137" t="s">
        <v>108</v>
      </c>
      <c r="C24" s="300"/>
      <c r="D24" s="418" t="s">
        <v>109</v>
      </c>
      <c r="E24" s="140" t="e">
        <f>E25</f>
        <v>#REF!</v>
      </c>
      <c r="F24" s="140" t="e">
        <f t="shared" ref="F24:I24" si="7">F25</f>
        <v>#REF!</v>
      </c>
      <c r="G24" s="140">
        <f t="shared" si="7"/>
        <v>3730</v>
      </c>
      <c r="H24" s="140">
        <f t="shared" si="7"/>
        <v>3730</v>
      </c>
      <c r="I24" s="140">
        <f t="shared" si="7"/>
        <v>3730</v>
      </c>
    </row>
    <row r="25" spans="1:9" s="131" customFormat="1" x14ac:dyDescent="0.25">
      <c r="A25" s="301"/>
      <c r="B25" s="141" t="s">
        <v>534</v>
      </c>
      <c r="C25" s="301"/>
      <c r="D25" s="331" t="s">
        <v>411</v>
      </c>
      <c r="E25" s="144" t="e">
        <f>'Rekapitulacija Posebni dio'!C540+'Rekapitulacija Posebni dio'!#REF!</f>
        <v>#REF!</v>
      </c>
      <c r="F25" s="144" t="e">
        <f>'Rekapitulacija Posebni dio'!D540+'Rekapitulacija Posebni dio'!#REF!</f>
        <v>#REF!</v>
      </c>
      <c r="G25" s="144">
        <f>'Rekapitulacija Posebni dio'!E540</f>
        <v>3730</v>
      </c>
      <c r="H25" s="144">
        <f>'Rekapitulacija Posebni dio'!F540</f>
        <v>3730</v>
      </c>
      <c r="I25" s="144">
        <f>'Rekapitulacija Posebni dio'!G540</f>
        <v>3730</v>
      </c>
    </row>
    <row r="26" spans="1:9" s="131" customFormat="1" x14ac:dyDescent="0.25">
      <c r="A26" s="192"/>
      <c r="B26" s="152" t="s">
        <v>112</v>
      </c>
      <c r="C26" s="192"/>
      <c r="D26" s="236" t="s">
        <v>113</v>
      </c>
      <c r="E26" s="155" t="e">
        <f>E27+E30+E33+E37</f>
        <v>#REF!</v>
      </c>
      <c r="F26" s="155" t="e">
        <f t="shared" ref="F26:I26" si="8">F27+F30+F33+F37</f>
        <v>#REF!</v>
      </c>
      <c r="G26" s="155">
        <f t="shared" si="8"/>
        <v>154892.1</v>
      </c>
      <c r="H26" s="155">
        <f t="shared" si="8"/>
        <v>154892.1</v>
      </c>
      <c r="I26" s="155">
        <f t="shared" si="8"/>
        <v>154892.1</v>
      </c>
    </row>
    <row r="27" spans="1:9" s="219" customFormat="1" hidden="1" x14ac:dyDescent="0.25">
      <c r="A27" s="192"/>
      <c r="B27" s="152" t="s">
        <v>114</v>
      </c>
      <c r="C27" s="192"/>
      <c r="D27" s="236" t="s">
        <v>115</v>
      </c>
      <c r="E27" s="155" t="e">
        <f>E28+E29</f>
        <v>#REF!</v>
      </c>
      <c r="F27" s="155" t="e">
        <f t="shared" ref="F27:I27" si="9">F28+F29</f>
        <v>#REF!</v>
      </c>
      <c r="G27" s="155">
        <f t="shared" si="9"/>
        <v>0</v>
      </c>
      <c r="H27" s="155">
        <f t="shared" si="9"/>
        <v>0</v>
      </c>
      <c r="I27" s="155">
        <f t="shared" si="9"/>
        <v>0</v>
      </c>
    </row>
    <row r="28" spans="1:9" s="219" customFormat="1" hidden="1" x14ac:dyDescent="0.25">
      <c r="A28" s="192"/>
      <c r="B28" s="218" t="s">
        <v>516</v>
      </c>
      <c r="C28" s="217"/>
      <c r="D28" s="237" t="s">
        <v>414</v>
      </c>
      <c r="E28" s="163" t="e">
        <f>'Rekapitulacija Posebni dio'!#REF!</f>
        <v>#REF!</v>
      </c>
      <c r="F28" s="163" t="e">
        <f>'Rekapitulacija Posebni dio'!#REF!</f>
        <v>#REF!</v>
      </c>
      <c r="G28" s="163">
        <v>0</v>
      </c>
      <c r="H28" s="163">
        <v>0</v>
      </c>
      <c r="I28" s="163">
        <v>0</v>
      </c>
    </row>
    <row r="29" spans="1:9" s="118" customFormat="1" hidden="1" x14ac:dyDescent="0.25">
      <c r="A29" s="192"/>
      <c r="B29" s="218" t="s">
        <v>536</v>
      </c>
      <c r="C29" s="217"/>
      <c r="D29" s="237" t="s">
        <v>571</v>
      </c>
      <c r="E29" s="163" t="e">
        <f>'Rekapitulacija Posebni dio'!#REF!</f>
        <v>#REF!</v>
      </c>
      <c r="F29" s="163" t="e">
        <f>'Rekapitulacija Posebni dio'!#REF!</f>
        <v>#REF!</v>
      </c>
      <c r="G29" s="163">
        <v>0</v>
      </c>
      <c r="H29" s="163">
        <v>0</v>
      </c>
      <c r="I29" s="163">
        <v>0</v>
      </c>
    </row>
    <row r="30" spans="1:9" s="131" customFormat="1" x14ac:dyDescent="0.25">
      <c r="A30" s="192"/>
      <c r="B30" s="152" t="s">
        <v>116</v>
      </c>
      <c r="C30" s="192"/>
      <c r="D30" s="236" t="s">
        <v>117</v>
      </c>
      <c r="E30" s="155" t="e">
        <f>E31</f>
        <v>#REF!</v>
      </c>
      <c r="F30" s="155" t="e">
        <f t="shared" ref="F30" si="10">F31</f>
        <v>#REF!</v>
      </c>
      <c r="G30" s="155">
        <f>SUM(G31:G32)</f>
        <v>150000</v>
      </c>
      <c r="H30" s="155">
        <f t="shared" ref="H30:I30" si="11">SUM(H31:H32)</f>
        <v>150000</v>
      </c>
      <c r="I30" s="155">
        <f t="shared" si="11"/>
        <v>150000</v>
      </c>
    </row>
    <row r="31" spans="1:9" s="118" customFormat="1" hidden="1" x14ac:dyDescent="0.25">
      <c r="A31" s="192"/>
      <c r="B31" s="218" t="s">
        <v>497</v>
      </c>
      <c r="C31" s="217"/>
      <c r="D31" s="237" t="s">
        <v>419</v>
      </c>
      <c r="E31" s="163" t="e">
        <f>'Rekapitulacija Posebni dio'!#REF!</f>
        <v>#REF!</v>
      </c>
      <c r="F31" s="163" t="e">
        <f>'Rekapitulacija Posebni dio'!#REF!</f>
        <v>#REF!</v>
      </c>
      <c r="G31" s="163">
        <v>0</v>
      </c>
      <c r="H31" s="163">
        <v>0</v>
      </c>
      <c r="I31" s="163">
        <v>0</v>
      </c>
    </row>
    <row r="32" spans="1:9" s="118" customFormat="1" x14ac:dyDescent="0.25">
      <c r="A32" s="192"/>
      <c r="B32" s="218" t="s">
        <v>597</v>
      </c>
      <c r="C32" s="217"/>
      <c r="D32" s="237" t="s">
        <v>599</v>
      </c>
      <c r="E32" s="163"/>
      <c r="F32" s="163"/>
      <c r="G32" s="163">
        <f>'Rekapitulacija Posebni dio'!E438</f>
        <v>150000</v>
      </c>
      <c r="H32" s="163">
        <f>'Rekapitulacija Posebni dio'!F438</f>
        <v>150000</v>
      </c>
      <c r="I32" s="163">
        <f>'Rekapitulacija Posebni dio'!G438</f>
        <v>150000</v>
      </c>
    </row>
    <row r="33" spans="1:9" s="131" customFormat="1" x14ac:dyDescent="0.25">
      <c r="A33" s="192"/>
      <c r="B33" s="152" t="s">
        <v>118</v>
      </c>
      <c r="C33" s="192"/>
      <c r="D33" s="236" t="s">
        <v>119</v>
      </c>
      <c r="E33" s="155" t="e">
        <f>E34+E35+E36</f>
        <v>#REF!</v>
      </c>
      <c r="F33" s="155" t="e">
        <f t="shared" ref="F33:I33" si="12">F34+F35+F36</f>
        <v>#REF!</v>
      </c>
      <c r="G33" s="155">
        <f t="shared" si="12"/>
        <v>200</v>
      </c>
      <c r="H33" s="155">
        <f t="shared" si="12"/>
        <v>200</v>
      </c>
      <c r="I33" s="155">
        <f t="shared" si="12"/>
        <v>200</v>
      </c>
    </row>
    <row r="34" spans="1:9" s="118" customFormat="1" hidden="1" x14ac:dyDescent="0.25">
      <c r="A34" s="192"/>
      <c r="B34" s="218" t="s">
        <v>500</v>
      </c>
      <c r="C34" s="217"/>
      <c r="D34" s="237" t="s">
        <v>423</v>
      </c>
      <c r="E34" s="163" t="e">
        <f>'Rekapitulacija Posebni dio'!#REF!</f>
        <v>#REF!</v>
      </c>
      <c r="F34" s="163" t="e">
        <f>'Rekapitulacija Posebni dio'!#REF!</f>
        <v>#REF!</v>
      </c>
      <c r="G34" s="163">
        <v>0</v>
      </c>
      <c r="H34" s="163">
        <v>0</v>
      </c>
      <c r="I34" s="163">
        <v>0</v>
      </c>
    </row>
    <row r="35" spans="1:9" s="118" customFormat="1" hidden="1" x14ac:dyDescent="0.25">
      <c r="A35" s="192"/>
      <c r="B35" s="218" t="s">
        <v>502</v>
      </c>
      <c r="C35" s="217"/>
      <c r="D35" s="237" t="s">
        <v>425</v>
      </c>
      <c r="E35" s="163" t="e">
        <f>'Rekapitulacija Posebni dio'!#REF!</f>
        <v>#REF!</v>
      </c>
      <c r="F35" s="163" t="e">
        <f>'Rekapitulacija Posebni dio'!#REF!</f>
        <v>#REF!</v>
      </c>
      <c r="G35" s="163">
        <v>0</v>
      </c>
      <c r="H35" s="163">
        <v>0</v>
      </c>
      <c r="I35" s="163">
        <v>0</v>
      </c>
    </row>
    <row r="36" spans="1:9" s="118" customFormat="1" x14ac:dyDescent="0.25">
      <c r="A36" s="192"/>
      <c r="B36" s="218" t="s">
        <v>503</v>
      </c>
      <c r="C36" s="217"/>
      <c r="D36" s="237" t="s">
        <v>422</v>
      </c>
      <c r="E36" s="163">
        <f>'Rekapitulacija Posebni dio'!C543</f>
        <v>0</v>
      </c>
      <c r="F36" s="163">
        <f>'Rekapitulacija Posebni dio'!D543</f>
        <v>0</v>
      </c>
      <c r="G36" s="163">
        <f>'Rekapitulacija Posebni dio'!E543</f>
        <v>200</v>
      </c>
      <c r="H36" s="163">
        <f>'Rekapitulacija Posebni dio'!F543</f>
        <v>200</v>
      </c>
      <c r="I36" s="163">
        <f>'Rekapitulacija Posebni dio'!G543</f>
        <v>200</v>
      </c>
    </row>
    <row r="37" spans="1:9" s="118" customFormat="1" x14ac:dyDescent="0.25">
      <c r="A37" s="192"/>
      <c r="B37" s="152" t="s">
        <v>120</v>
      </c>
      <c r="C37" s="192"/>
      <c r="D37" s="226" t="s">
        <v>121</v>
      </c>
      <c r="E37" s="155" t="e">
        <f>SUM(E38:E40)</f>
        <v>#REF!</v>
      </c>
      <c r="F37" s="155" t="e">
        <f t="shared" ref="F37:I37" si="13">SUM(F38:F40)</f>
        <v>#REF!</v>
      </c>
      <c r="G37" s="155">
        <f t="shared" si="13"/>
        <v>4692.1000000000004</v>
      </c>
      <c r="H37" s="155">
        <f t="shared" si="13"/>
        <v>4692.1000000000004</v>
      </c>
      <c r="I37" s="155">
        <f t="shared" si="13"/>
        <v>4692.1000000000004</v>
      </c>
    </row>
    <row r="38" spans="1:9" s="118" customFormat="1" x14ac:dyDescent="0.25">
      <c r="A38" s="192"/>
      <c r="B38" s="218">
        <v>32241</v>
      </c>
      <c r="C38" s="192"/>
      <c r="D38" s="331" t="s">
        <v>426</v>
      </c>
      <c r="E38" s="163" t="e">
        <f>'Rekapitulacija Posebni dio'!C459+'Rekapitulacija Posebni dio'!#REF!+'Rekapitulacija Posebni dio'!#REF!</f>
        <v>#REF!</v>
      </c>
      <c r="F38" s="163" t="e">
        <f>'Rekapitulacija Posebni dio'!D459+'Rekapitulacija Posebni dio'!#REF!+'Rekapitulacija Posebni dio'!#REF!</f>
        <v>#REF!</v>
      </c>
      <c r="G38" s="163">
        <f>'Rekapitulacija Posebni dio'!E459</f>
        <v>4692.1000000000004</v>
      </c>
      <c r="H38" s="163">
        <f>'Rekapitulacija Posebni dio'!F459</f>
        <v>4692.1000000000004</v>
      </c>
      <c r="I38" s="163">
        <f>'Rekapitulacija Posebni dio'!G459</f>
        <v>4692.1000000000004</v>
      </c>
    </row>
    <row r="39" spans="1:9" s="118" customFormat="1" hidden="1" x14ac:dyDescent="0.25">
      <c r="A39" s="192"/>
      <c r="B39" s="218" t="s">
        <v>541</v>
      </c>
      <c r="C39" s="192"/>
      <c r="D39" s="331" t="s">
        <v>428</v>
      </c>
      <c r="E39" s="163" t="e">
        <f>'Rekapitulacija Posebni dio'!#REF!</f>
        <v>#REF!</v>
      </c>
      <c r="F39" s="163" t="e">
        <f>'Rekapitulacija Posebni dio'!#REF!</f>
        <v>#REF!</v>
      </c>
      <c r="G39" s="163"/>
      <c r="H39" s="163"/>
      <c r="I39" s="163"/>
    </row>
    <row r="40" spans="1:9" s="118" customFormat="1" hidden="1" x14ac:dyDescent="0.25">
      <c r="A40" s="192"/>
      <c r="B40" s="218" t="s">
        <v>543</v>
      </c>
      <c r="C40" s="192"/>
      <c r="D40" s="331" t="s">
        <v>429</v>
      </c>
      <c r="E40" s="163" t="e">
        <f>'Rekapitulacija Posebni dio'!#REF!</f>
        <v>#REF!</v>
      </c>
      <c r="F40" s="163" t="e">
        <f>'Rekapitulacija Posebni dio'!#REF!</f>
        <v>#REF!</v>
      </c>
      <c r="G40" s="163"/>
      <c r="H40" s="163"/>
      <c r="I40" s="163"/>
    </row>
    <row r="41" spans="1:9" s="131" customFormat="1" x14ac:dyDescent="0.25">
      <c r="A41" s="192"/>
      <c r="B41" s="152" t="s">
        <v>126</v>
      </c>
      <c r="C41" s="192"/>
      <c r="D41" s="226" t="s">
        <v>127</v>
      </c>
      <c r="E41" s="155" t="e">
        <f>E42+E44+E49+E51+E53+E55</f>
        <v>#REF!</v>
      </c>
      <c r="F41" s="155" t="e">
        <f>F42+F44+F49+F51+F53+F55</f>
        <v>#REF!</v>
      </c>
      <c r="G41" s="155">
        <f>G42+G44+G49+G51+G53+G55</f>
        <v>297032.90999999997</v>
      </c>
      <c r="H41" s="155">
        <f>H42+H44+H49+H51+H53+H55</f>
        <v>297032.90999999997</v>
      </c>
      <c r="I41" s="155">
        <f>I42+I44+I49+I51+I53+I55</f>
        <v>297032.90999999997</v>
      </c>
    </row>
    <row r="42" spans="1:9" s="131" customFormat="1" hidden="1" x14ac:dyDescent="0.25">
      <c r="A42" s="192"/>
      <c r="B42" s="152" t="s">
        <v>128</v>
      </c>
      <c r="C42" s="192"/>
      <c r="D42" s="333" t="s">
        <v>129</v>
      </c>
      <c r="E42" s="155" t="e">
        <f>E43</f>
        <v>#REF!</v>
      </c>
      <c r="F42" s="155" t="e">
        <f t="shared" ref="F42:I42" si="14">F43</f>
        <v>#REF!</v>
      </c>
      <c r="G42" s="155">
        <f t="shared" si="14"/>
        <v>0</v>
      </c>
      <c r="H42" s="155">
        <f t="shared" si="14"/>
        <v>0</v>
      </c>
      <c r="I42" s="155">
        <f t="shared" si="14"/>
        <v>0</v>
      </c>
    </row>
    <row r="43" spans="1:9" s="118" customFormat="1" hidden="1" x14ac:dyDescent="0.25">
      <c r="A43" s="217"/>
      <c r="B43" s="218" t="s">
        <v>506</v>
      </c>
      <c r="C43" s="217"/>
      <c r="D43" s="332" t="s">
        <v>430</v>
      </c>
      <c r="E43" s="163" t="e">
        <f>'Rekapitulacija Posebni dio'!#REF!</f>
        <v>#REF!</v>
      </c>
      <c r="F43" s="163" t="e">
        <f>'Rekapitulacija Posebni dio'!#REF!</f>
        <v>#REF!</v>
      </c>
      <c r="G43" s="163">
        <v>0</v>
      </c>
      <c r="H43" s="163">
        <v>0</v>
      </c>
      <c r="I43" s="163">
        <v>0</v>
      </c>
    </row>
    <row r="44" spans="1:9" s="131" customFormat="1" x14ac:dyDescent="0.25">
      <c r="A44" s="192"/>
      <c r="B44" s="152" t="s">
        <v>130</v>
      </c>
      <c r="C44" s="192"/>
      <c r="D44" s="226" t="s">
        <v>131</v>
      </c>
      <c r="E44" s="155" t="e">
        <f t="shared" ref="E44" si="15">SUM(E45:E48)</f>
        <v>#REF!</v>
      </c>
      <c r="F44" s="155" t="e">
        <f t="shared" ref="F44" si="16">SUM(F45:F48)</f>
        <v>#REF!</v>
      </c>
      <c r="G44" s="155">
        <f>SUM(G45:G48)</f>
        <v>224043.74</v>
      </c>
      <c r="H44" s="155">
        <f t="shared" ref="H44:I44" si="17">SUM(H45:H48)</f>
        <v>224043.74</v>
      </c>
      <c r="I44" s="155">
        <f t="shared" si="17"/>
        <v>224043.74</v>
      </c>
    </row>
    <row r="45" spans="1:9" s="118" customFormat="1" ht="15" customHeight="1" x14ac:dyDescent="0.25">
      <c r="A45" s="217"/>
      <c r="B45" s="218" t="s">
        <v>528</v>
      </c>
      <c r="C45" s="217"/>
      <c r="D45" s="224" t="s">
        <v>433</v>
      </c>
      <c r="E45" s="163" t="e">
        <f>'Rekapitulacija Posebni dio'!C462+'Rekapitulacija Posebni dio'!#REF!+'Rekapitulacija Posebni dio'!#REF!</f>
        <v>#REF!</v>
      </c>
      <c r="F45" s="163" t="e">
        <f>'Rekapitulacija Posebni dio'!D462+'Rekapitulacija Posebni dio'!#REF!+'Rekapitulacija Posebni dio'!#REF!</f>
        <v>#REF!</v>
      </c>
      <c r="G45" s="163">
        <f>'Rekapitulacija Posebni dio'!E462</f>
        <v>224043.74</v>
      </c>
      <c r="H45" s="163">
        <f>'Rekapitulacija Posebni dio'!F462</f>
        <v>224043.74</v>
      </c>
      <c r="I45" s="163">
        <f>'Rekapitulacija Posebni dio'!G462</f>
        <v>224043.74</v>
      </c>
    </row>
    <row r="46" spans="1:9" s="118" customFormat="1" ht="15" customHeight="1" x14ac:dyDescent="0.25">
      <c r="A46" s="217"/>
      <c r="B46" s="218" t="s">
        <v>529</v>
      </c>
      <c r="C46" s="217"/>
      <c r="D46" s="224" t="s">
        <v>434</v>
      </c>
      <c r="E46" s="163" t="e">
        <f>'Rekapitulacija Posebni dio'!C463+'Rekapitulacija Posebni dio'!#REF!+'Rekapitulacija Posebni dio'!#REF!</f>
        <v>#REF!</v>
      </c>
      <c r="F46" s="163" t="e">
        <f>'Rekapitulacija Posebni dio'!D463+'Rekapitulacija Posebni dio'!#REF!+'Rekapitulacija Posebni dio'!#REF!</f>
        <v>#REF!</v>
      </c>
      <c r="G46" s="163">
        <f>'Rekapitulacija Posebni dio'!E463</f>
        <v>0</v>
      </c>
      <c r="H46" s="163">
        <f>'Rekapitulacija Posebni dio'!F463</f>
        <v>0</v>
      </c>
      <c r="I46" s="163">
        <f>'Rekapitulacija Posebni dio'!G463</f>
        <v>0</v>
      </c>
    </row>
    <row r="47" spans="1:9" s="118" customFormat="1" ht="15" customHeight="1" x14ac:dyDescent="0.25">
      <c r="A47" s="217"/>
      <c r="B47" s="218" t="s">
        <v>530</v>
      </c>
      <c r="C47" s="217"/>
      <c r="D47" s="224" t="s">
        <v>432</v>
      </c>
      <c r="E47" s="163" t="e">
        <f>'Rekapitulacija Posebni dio'!C464+'Rekapitulacija Posebni dio'!#REF!+'Rekapitulacija Posebni dio'!#REF!</f>
        <v>#REF!</v>
      </c>
      <c r="F47" s="163" t="e">
        <f>'Rekapitulacija Posebni dio'!D464+'Rekapitulacija Posebni dio'!#REF!+'Rekapitulacija Posebni dio'!#REF!</f>
        <v>#REF!</v>
      </c>
      <c r="G47" s="163">
        <f>'Rekapitulacija Posebni dio'!E464</f>
        <v>0</v>
      </c>
      <c r="H47" s="163">
        <f>'Rekapitulacija Posebni dio'!F464</f>
        <v>0</v>
      </c>
      <c r="I47" s="163">
        <f>'Rekapitulacija Posebni dio'!G464</f>
        <v>0</v>
      </c>
    </row>
    <row r="48" spans="1:9" s="118" customFormat="1" ht="15" customHeight="1" x14ac:dyDescent="0.25">
      <c r="A48" s="217"/>
      <c r="B48" s="218" t="s">
        <v>603</v>
      </c>
      <c r="C48" s="217"/>
      <c r="D48" s="224" t="s">
        <v>645</v>
      </c>
      <c r="E48" s="163" t="e">
        <f>'Rekapitulacija Posebni dio'!#REF!</f>
        <v>#REF!</v>
      </c>
      <c r="F48" s="163" t="e">
        <f>'Rekapitulacija Posebni dio'!#REF!</f>
        <v>#REF!</v>
      </c>
      <c r="G48" s="163">
        <v>0</v>
      </c>
      <c r="H48" s="163">
        <v>0</v>
      </c>
      <c r="I48" s="163">
        <v>0</v>
      </c>
    </row>
    <row r="49" spans="1:9" s="131" customFormat="1" ht="15" hidden="1" customHeight="1" x14ac:dyDescent="0.25">
      <c r="A49" s="192"/>
      <c r="B49" s="152" t="s">
        <v>217</v>
      </c>
      <c r="C49" s="192"/>
      <c r="D49" s="226" t="s">
        <v>137</v>
      </c>
      <c r="E49" s="155" t="e">
        <f>E50</f>
        <v>#REF!</v>
      </c>
      <c r="F49" s="155" t="e">
        <f t="shared" ref="F49:I49" si="18">F50</f>
        <v>#REF!</v>
      </c>
      <c r="G49" s="155">
        <f t="shared" si="18"/>
        <v>0</v>
      </c>
      <c r="H49" s="155">
        <f t="shared" si="18"/>
        <v>0</v>
      </c>
      <c r="I49" s="155">
        <f t="shared" si="18"/>
        <v>0</v>
      </c>
    </row>
    <row r="50" spans="1:9" s="118" customFormat="1" ht="15" hidden="1" customHeight="1" x14ac:dyDescent="0.25">
      <c r="A50" s="217"/>
      <c r="B50" s="218" t="s">
        <v>517</v>
      </c>
      <c r="C50" s="217"/>
      <c r="D50" s="224" t="s">
        <v>137</v>
      </c>
      <c r="E50" s="163" t="e">
        <f>'Rekapitulacija Posebni dio'!#REF!+'Rekapitulacija Posebni dio'!#REF!</f>
        <v>#REF!</v>
      </c>
      <c r="F50" s="163" t="e">
        <f>'Rekapitulacija Posebni dio'!#REF!+'Rekapitulacija Posebni dio'!#REF!</f>
        <v>#REF!</v>
      </c>
      <c r="G50" s="163">
        <v>0</v>
      </c>
      <c r="H50" s="163">
        <v>0</v>
      </c>
      <c r="I50" s="163">
        <v>0</v>
      </c>
    </row>
    <row r="51" spans="1:9" s="131" customFormat="1" ht="15" hidden="1" customHeight="1" x14ac:dyDescent="0.25">
      <c r="A51" s="192"/>
      <c r="B51" s="152" t="s">
        <v>218</v>
      </c>
      <c r="C51" s="192"/>
      <c r="D51" s="226" t="s">
        <v>138</v>
      </c>
      <c r="E51" s="155" t="e">
        <f>E52</f>
        <v>#REF!</v>
      </c>
      <c r="F51" s="155" t="e">
        <f t="shared" ref="F51:I51" si="19">F52</f>
        <v>#REF!</v>
      </c>
      <c r="G51" s="155">
        <f t="shared" si="19"/>
        <v>0</v>
      </c>
      <c r="H51" s="155">
        <f t="shared" si="19"/>
        <v>0</v>
      </c>
      <c r="I51" s="155">
        <f t="shared" si="19"/>
        <v>0</v>
      </c>
    </row>
    <row r="52" spans="1:9" s="118" customFormat="1" ht="15" hidden="1" customHeight="1" x14ac:dyDescent="0.25">
      <c r="A52" s="217"/>
      <c r="B52" s="218" t="s">
        <v>572</v>
      </c>
      <c r="C52" s="217"/>
      <c r="D52" s="224" t="s">
        <v>509</v>
      </c>
      <c r="E52" s="163" t="e">
        <f>'Rekapitulacija Posebni dio'!#REF!</f>
        <v>#REF!</v>
      </c>
      <c r="F52" s="163" t="e">
        <f>'Rekapitulacija Posebni dio'!#REF!</f>
        <v>#REF!</v>
      </c>
      <c r="G52" s="163">
        <v>0</v>
      </c>
      <c r="H52" s="163">
        <v>0</v>
      </c>
      <c r="I52" s="163">
        <v>0</v>
      </c>
    </row>
    <row r="53" spans="1:9" s="118" customFormat="1" ht="15" customHeight="1" x14ac:dyDescent="0.25">
      <c r="A53" s="217"/>
      <c r="B53" s="174">
        <v>3238</v>
      </c>
      <c r="C53" s="151"/>
      <c r="D53" s="228" t="s">
        <v>140</v>
      </c>
      <c r="E53" s="155" t="e">
        <f t="shared" ref="E53:I53" si="20">SUM(E54)</f>
        <v>#REF!</v>
      </c>
      <c r="F53" s="155" t="e">
        <f t="shared" si="20"/>
        <v>#REF!</v>
      </c>
      <c r="G53" s="155">
        <f t="shared" si="20"/>
        <v>72989.17</v>
      </c>
      <c r="H53" s="155">
        <f t="shared" si="20"/>
        <v>72989.17</v>
      </c>
      <c r="I53" s="155">
        <f t="shared" si="20"/>
        <v>72989.17</v>
      </c>
    </row>
    <row r="54" spans="1:9" s="131" customFormat="1" x14ac:dyDescent="0.25">
      <c r="A54" s="192"/>
      <c r="B54" s="177">
        <v>32381</v>
      </c>
      <c r="C54" s="132"/>
      <c r="D54" s="227" t="s">
        <v>674</v>
      </c>
      <c r="E54" s="163" t="e">
        <f>'Rekapitulacija Posebni dio'!C468+'Rekapitulacija Posebni dio'!#REF!</f>
        <v>#REF!</v>
      </c>
      <c r="F54" s="163" t="e">
        <f>'Rekapitulacija Posebni dio'!D468+'Rekapitulacija Posebni dio'!#REF!</f>
        <v>#REF!</v>
      </c>
      <c r="G54" s="163">
        <f>'Rekapitulacija Posebni dio'!E468</f>
        <v>72989.17</v>
      </c>
      <c r="H54" s="163">
        <f>'Rekapitulacija Posebni dio'!F468</f>
        <v>72989.17</v>
      </c>
      <c r="I54" s="163">
        <f>'Rekapitulacija Posebni dio'!G468</f>
        <v>72989.17</v>
      </c>
    </row>
    <row r="55" spans="1:9" s="131" customFormat="1" hidden="1" x14ac:dyDescent="0.25">
      <c r="A55" s="192"/>
      <c r="B55" s="174">
        <v>3239</v>
      </c>
      <c r="C55" s="151"/>
      <c r="D55" s="228" t="s">
        <v>142</v>
      </c>
      <c r="E55" s="155" t="e">
        <f>E56+E57</f>
        <v>#REF!</v>
      </c>
      <c r="F55" s="155" t="e">
        <f t="shared" ref="F55:I55" si="21">F56+F57</f>
        <v>#REF!</v>
      </c>
      <c r="G55" s="155">
        <f t="shared" si="21"/>
        <v>0</v>
      </c>
      <c r="H55" s="155">
        <f t="shared" si="21"/>
        <v>0</v>
      </c>
      <c r="I55" s="155">
        <f t="shared" si="21"/>
        <v>0</v>
      </c>
    </row>
    <row r="56" spans="1:9" s="131" customFormat="1" hidden="1" x14ac:dyDescent="0.25">
      <c r="A56" s="192"/>
      <c r="B56" s="177">
        <v>32394</v>
      </c>
      <c r="C56" s="132"/>
      <c r="D56" s="227" t="s">
        <v>445</v>
      </c>
      <c r="E56" s="163" t="e">
        <f>'Rekapitulacija Posebni dio'!#REF!</f>
        <v>#REF!</v>
      </c>
      <c r="F56" s="163" t="e">
        <f>'Rekapitulacija Posebni dio'!#REF!</f>
        <v>#REF!</v>
      </c>
      <c r="G56" s="163"/>
      <c r="H56" s="163">
        <v>0</v>
      </c>
      <c r="I56" s="163">
        <v>0</v>
      </c>
    </row>
    <row r="57" spans="1:9" s="131" customFormat="1" hidden="1" x14ac:dyDescent="0.25">
      <c r="A57" s="192"/>
      <c r="B57" s="177">
        <v>32399</v>
      </c>
      <c r="C57" s="132"/>
      <c r="D57" s="227" t="s">
        <v>315</v>
      </c>
      <c r="E57" s="163" t="e">
        <f>'Rekapitulacija Posebni dio'!#REF!</f>
        <v>#REF!</v>
      </c>
      <c r="F57" s="163" t="e">
        <f>'Rekapitulacija Posebni dio'!#REF!</f>
        <v>#REF!</v>
      </c>
      <c r="G57" s="163">
        <v>0</v>
      </c>
      <c r="H57" s="163">
        <v>0</v>
      </c>
      <c r="I57" s="163">
        <v>0</v>
      </c>
    </row>
    <row r="58" spans="1:9" s="131" customFormat="1" hidden="1" x14ac:dyDescent="0.25">
      <c r="A58" s="192"/>
      <c r="B58" s="156" t="s">
        <v>583</v>
      </c>
      <c r="C58" s="151"/>
      <c r="D58" s="158" t="s">
        <v>638</v>
      </c>
      <c r="E58" s="155" t="e">
        <f>E59</f>
        <v>#REF!</v>
      </c>
      <c r="F58" s="155" t="e">
        <f t="shared" ref="F58:I58" si="22">F59</f>
        <v>#REF!</v>
      </c>
      <c r="G58" s="155">
        <f t="shared" si="22"/>
        <v>0</v>
      </c>
      <c r="H58" s="155">
        <f t="shared" si="22"/>
        <v>0</v>
      </c>
      <c r="I58" s="155">
        <f t="shared" si="22"/>
        <v>0</v>
      </c>
    </row>
    <row r="59" spans="1:9" s="131" customFormat="1" hidden="1" x14ac:dyDescent="0.25">
      <c r="A59" s="192"/>
      <c r="B59" s="156" t="s">
        <v>584</v>
      </c>
      <c r="C59" s="151"/>
      <c r="D59" s="158" t="s">
        <v>638</v>
      </c>
      <c r="E59" s="155" t="e">
        <f>E60+E61</f>
        <v>#REF!</v>
      </c>
      <c r="F59" s="155" t="e">
        <f t="shared" ref="F59:I59" si="23">F60+F61</f>
        <v>#REF!</v>
      </c>
      <c r="G59" s="155">
        <f t="shared" si="23"/>
        <v>0</v>
      </c>
      <c r="H59" s="155">
        <f t="shared" si="23"/>
        <v>0</v>
      </c>
      <c r="I59" s="155">
        <f t="shared" si="23"/>
        <v>0</v>
      </c>
    </row>
    <row r="60" spans="1:9" s="131" customFormat="1" hidden="1" x14ac:dyDescent="0.25">
      <c r="A60" s="192"/>
      <c r="B60" s="160" t="s">
        <v>585</v>
      </c>
      <c r="C60" s="151"/>
      <c r="D60" s="161" t="s">
        <v>587</v>
      </c>
      <c r="E60" s="163" t="e">
        <f>'Rekapitulacija Posebni dio'!#REF!+'Rekapitulacija Posebni dio'!#REF!</f>
        <v>#REF!</v>
      </c>
      <c r="F60" s="163" t="e">
        <f>'Rekapitulacija Posebni dio'!#REF!+'Rekapitulacija Posebni dio'!#REF!</f>
        <v>#REF!</v>
      </c>
      <c r="G60" s="163">
        <v>0</v>
      </c>
      <c r="H60" s="163">
        <v>0</v>
      </c>
      <c r="I60" s="163">
        <v>0</v>
      </c>
    </row>
    <row r="61" spans="1:9" s="131" customFormat="1" hidden="1" x14ac:dyDescent="0.25">
      <c r="A61" s="192"/>
      <c r="B61" s="160" t="s">
        <v>586</v>
      </c>
      <c r="C61" s="151"/>
      <c r="D61" s="161" t="s">
        <v>588</v>
      </c>
      <c r="E61" s="163" t="e">
        <f>'Rekapitulacija Posebni dio'!#REF!+'Rekapitulacija Posebni dio'!#REF!+'Rekapitulacija Posebni dio'!#REF!</f>
        <v>#REF!</v>
      </c>
      <c r="F61" s="163" t="e">
        <f>'Rekapitulacija Posebni dio'!#REF!+'Rekapitulacija Posebni dio'!#REF!+'Rekapitulacija Posebni dio'!#REF!</f>
        <v>#REF!</v>
      </c>
      <c r="G61" s="163">
        <v>0</v>
      </c>
      <c r="H61" s="163">
        <v>0</v>
      </c>
      <c r="I61" s="163">
        <v>0</v>
      </c>
    </row>
    <row r="62" spans="1:9" s="131" customFormat="1" x14ac:dyDescent="0.25">
      <c r="A62" s="192"/>
      <c r="B62" s="174">
        <v>329</v>
      </c>
      <c r="C62" s="151"/>
      <c r="D62" s="228" t="s">
        <v>144</v>
      </c>
      <c r="E62" s="155" t="e">
        <f>E63+E65+E67</f>
        <v>#REF!</v>
      </c>
      <c r="F62" s="155" t="e">
        <f t="shared" ref="F62:I62" si="24">F63+F65+F67</f>
        <v>#REF!</v>
      </c>
      <c r="G62" s="155">
        <f t="shared" si="24"/>
        <v>18000</v>
      </c>
      <c r="H62" s="155">
        <f t="shared" si="24"/>
        <v>18000</v>
      </c>
      <c r="I62" s="155">
        <f t="shared" si="24"/>
        <v>18000</v>
      </c>
    </row>
    <row r="63" spans="1:9" s="131" customFormat="1" hidden="1" x14ac:dyDescent="0.25">
      <c r="A63" s="192"/>
      <c r="B63" s="174">
        <v>3292</v>
      </c>
      <c r="C63" s="151"/>
      <c r="D63" s="228" t="s">
        <v>147</v>
      </c>
      <c r="E63" s="155" t="e">
        <f>E64</f>
        <v>#REF!</v>
      </c>
      <c r="F63" s="155" t="e">
        <f t="shared" ref="F63:I63" si="25">F64</f>
        <v>#REF!</v>
      </c>
      <c r="G63" s="155">
        <f t="shared" si="25"/>
        <v>0</v>
      </c>
      <c r="H63" s="155">
        <f t="shared" si="25"/>
        <v>0</v>
      </c>
      <c r="I63" s="155">
        <f t="shared" si="25"/>
        <v>0</v>
      </c>
    </row>
    <row r="64" spans="1:9" s="131" customFormat="1" hidden="1" x14ac:dyDescent="0.25">
      <c r="A64" s="192"/>
      <c r="B64" s="177">
        <v>32923</v>
      </c>
      <c r="C64" s="132"/>
      <c r="D64" s="227" t="s">
        <v>447</v>
      </c>
      <c r="E64" s="163" t="e">
        <f>'Rekapitulacija Posebni dio'!#REF!</f>
        <v>#REF!</v>
      </c>
      <c r="F64" s="163" t="e">
        <f>'Rekapitulacija Posebni dio'!#REF!</f>
        <v>#REF!</v>
      </c>
      <c r="G64" s="163">
        <v>0</v>
      </c>
      <c r="H64" s="163">
        <v>0</v>
      </c>
      <c r="I64" s="163">
        <v>0</v>
      </c>
    </row>
    <row r="65" spans="1:9" s="131" customFormat="1" hidden="1" x14ac:dyDescent="0.25">
      <c r="A65" s="192"/>
      <c r="B65" s="174">
        <v>3293</v>
      </c>
      <c r="C65" s="151"/>
      <c r="D65" s="228" t="s">
        <v>148</v>
      </c>
      <c r="E65" s="155" t="e">
        <f>E66</f>
        <v>#REF!</v>
      </c>
      <c r="F65" s="155" t="e">
        <f t="shared" ref="F65:I65" si="26">F66</f>
        <v>#REF!</v>
      </c>
      <c r="G65" s="155">
        <f t="shared" si="26"/>
        <v>0</v>
      </c>
      <c r="H65" s="155">
        <f t="shared" si="26"/>
        <v>0</v>
      </c>
      <c r="I65" s="155">
        <f t="shared" si="26"/>
        <v>0</v>
      </c>
    </row>
    <row r="66" spans="1:9" s="131" customFormat="1" hidden="1" x14ac:dyDescent="0.25">
      <c r="A66" s="192"/>
      <c r="B66" s="177">
        <v>32931</v>
      </c>
      <c r="C66" s="132"/>
      <c r="D66" s="227" t="s">
        <v>148</v>
      </c>
      <c r="E66" s="163" t="e">
        <f>'Rekapitulacija Posebni dio'!#REF!</f>
        <v>#REF!</v>
      </c>
      <c r="F66" s="163" t="e">
        <f>'Rekapitulacija Posebni dio'!#REF!</f>
        <v>#REF!</v>
      </c>
      <c r="G66" s="163">
        <v>0</v>
      </c>
      <c r="H66" s="163">
        <v>0</v>
      </c>
      <c r="I66" s="163">
        <v>0</v>
      </c>
    </row>
    <row r="67" spans="1:9" s="131" customFormat="1" x14ac:dyDescent="0.25">
      <c r="A67" s="192"/>
      <c r="B67" s="174">
        <v>3299</v>
      </c>
      <c r="C67" s="151"/>
      <c r="D67" s="228" t="s">
        <v>144</v>
      </c>
      <c r="E67" s="155" t="e">
        <f>E68</f>
        <v>#REF!</v>
      </c>
      <c r="F67" s="155" t="e">
        <f t="shared" ref="F67:I67" si="27">F68</f>
        <v>#REF!</v>
      </c>
      <c r="G67" s="155">
        <f t="shared" si="27"/>
        <v>18000</v>
      </c>
      <c r="H67" s="155">
        <f t="shared" si="27"/>
        <v>18000</v>
      </c>
      <c r="I67" s="155">
        <f t="shared" si="27"/>
        <v>18000</v>
      </c>
    </row>
    <row r="68" spans="1:9" s="131" customFormat="1" x14ac:dyDescent="0.25">
      <c r="A68" s="192"/>
      <c r="B68" s="177">
        <v>32999</v>
      </c>
      <c r="C68" s="132"/>
      <c r="D68" s="227" t="s">
        <v>144</v>
      </c>
      <c r="E68" s="163" t="e">
        <f>'Rekapitulacija Posebni dio'!#REF!</f>
        <v>#REF!</v>
      </c>
      <c r="F68" s="163" t="e">
        <f>'Rekapitulacija Posebni dio'!#REF!</f>
        <v>#REF!</v>
      </c>
      <c r="G68" s="163">
        <f>'Rekapitulacija Posebni dio'!E557</f>
        <v>18000</v>
      </c>
      <c r="H68" s="163">
        <f>'Rekapitulacija Posebni dio'!F557</f>
        <v>18000</v>
      </c>
      <c r="I68" s="163">
        <f>'Rekapitulacija Posebni dio'!G557</f>
        <v>18000</v>
      </c>
    </row>
    <row r="69" spans="1:9" s="131" customFormat="1" x14ac:dyDescent="0.25">
      <c r="A69" s="271">
        <v>4</v>
      </c>
      <c r="B69" s="239"/>
      <c r="C69" s="199"/>
      <c r="D69" s="327" t="s">
        <v>174</v>
      </c>
      <c r="E69" s="202" t="e">
        <f>E70+E74+E98</f>
        <v>#REF!</v>
      </c>
      <c r="F69" s="202" t="e">
        <f>F70+F74+F98</f>
        <v>#REF!</v>
      </c>
      <c r="G69" s="202">
        <f>G70+G74+G98</f>
        <v>769502.99</v>
      </c>
      <c r="H69" s="202">
        <f t="shared" ref="H69:I69" si="28">H70+H74+H98</f>
        <v>769502.99</v>
      </c>
      <c r="I69" s="202">
        <f t="shared" si="28"/>
        <v>769502.99</v>
      </c>
    </row>
    <row r="70" spans="1:9" s="118" customFormat="1" x14ac:dyDescent="0.25">
      <c r="A70" s="217"/>
      <c r="B70" s="133" t="s">
        <v>175</v>
      </c>
      <c r="C70" s="203"/>
      <c r="D70" s="216" t="s">
        <v>176</v>
      </c>
      <c r="E70" s="168" t="e">
        <f>E71</f>
        <v>#REF!</v>
      </c>
      <c r="F70" s="168" t="e">
        <f t="shared" ref="F70:I72" si="29">F71</f>
        <v>#REF!</v>
      </c>
      <c r="G70" s="168">
        <f t="shared" si="29"/>
        <v>1300</v>
      </c>
      <c r="H70" s="168">
        <f t="shared" si="29"/>
        <v>1300</v>
      </c>
      <c r="I70" s="168">
        <f t="shared" si="29"/>
        <v>1300</v>
      </c>
    </row>
    <row r="71" spans="1:9" s="131" customFormat="1" x14ac:dyDescent="0.25">
      <c r="A71" s="192"/>
      <c r="B71" s="169">
        <v>412</v>
      </c>
      <c r="C71" s="151"/>
      <c r="D71" s="232" t="s">
        <v>181</v>
      </c>
      <c r="E71" s="155" t="e">
        <f>E72</f>
        <v>#REF!</v>
      </c>
      <c r="F71" s="155" t="e">
        <f t="shared" si="29"/>
        <v>#REF!</v>
      </c>
      <c r="G71" s="155">
        <f t="shared" si="29"/>
        <v>1300</v>
      </c>
      <c r="H71" s="155">
        <f t="shared" si="29"/>
        <v>1300</v>
      </c>
      <c r="I71" s="155">
        <f t="shared" si="29"/>
        <v>1300</v>
      </c>
    </row>
    <row r="72" spans="1:9" s="131" customFormat="1" x14ac:dyDescent="0.25">
      <c r="A72" s="192"/>
      <c r="B72" s="169">
        <v>4123</v>
      </c>
      <c r="C72" s="151"/>
      <c r="D72" s="232" t="s">
        <v>181</v>
      </c>
      <c r="E72" s="155" t="e">
        <f>E73</f>
        <v>#REF!</v>
      </c>
      <c r="F72" s="155" t="e">
        <f t="shared" si="29"/>
        <v>#REF!</v>
      </c>
      <c r="G72" s="155">
        <f t="shared" si="29"/>
        <v>1300</v>
      </c>
      <c r="H72" s="155">
        <f t="shared" si="29"/>
        <v>1300</v>
      </c>
      <c r="I72" s="155">
        <f t="shared" si="29"/>
        <v>1300</v>
      </c>
    </row>
    <row r="73" spans="1:9" s="118" customFormat="1" x14ac:dyDescent="0.25">
      <c r="A73" s="217"/>
      <c r="B73" s="184">
        <v>41231</v>
      </c>
      <c r="C73" s="132"/>
      <c r="D73" s="229" t="s">
        <v>182</v>
      </c>
      <c r="E73" s="163" t="e">
        <f>'Rekapitulacija Posebni dio'!#REF!</f>
        <v>#REF!</v>
      </c>
      <c r="F73" s="163" t="e">
        <f>'Rekapitulacija Posebni dio'!#REF!</f>
        <v>#REF!</v>
      </c>
      <c r="G73" s="163">
        <f>'Rekapitulacija Posebni dio'!E473</f>
        <v>1300</v>
      </c>
      <c r="H73" s="163">
        <f>'Rekapitulacija Posebni dio'!F473</f>
        <v>1300</v>
      </c>
      <c r="I73" s="163">
        <f>'Rekapitulacija Posebni dio'!G473</f>
        <v>1300</v>
      </c>
    </row>
    <row r="74" spans="1:9" s="118" customFormat="1" x14ac:dyDescent="0.25">
      <c r="A74" s="217"/>
      <c r="B74" s="133">
        <v>42</v>
      </c>
      <c r="C74" s="203"/>
      <c r="D74" s="216" t="s">
        <v>183</v>
      </c>
      <c r="E74" s="168" t="e">
        <f>SUM(E78,E92,E95)</f>
        <v>#REF!</v>
      </c>
      <c r="F74" s="168" t="e">
        <f>SUM(F78,F92,F95)</f>
        <v>#REF!</v>
      </c>
      <c r="G74" s="168">
        <f>SUM(G75,G78,G92,G95)</f>
        <v>592202.99</v>
      </c>
      <c r="H74" s="168">
        <f t="shared" ref="H74:I74" si="30">SUM(H75,H78,H92,H95)</f>
        <v>592202.99</v>
      </c>
      <c r="I74" s="168">
        <f t="shared" si="30"/>
        <v>592202.99</v>
      </c>
    </row>
    <row r="75" spans="1:9" s="118" customFormat="1" x14ac:dyDescent="0.25">
      <c r="A75" s="217"/>
      <c r="B75" s="152" t="s">
        <v>206</v>
      </c>
      <c r="C75" s="192"/>
      <c r="D75" s="433" t="s">
        <v>207</v>
      </c>
      <c r="E75" s="155"/>
      <c r="F75" s="155"/>
      <c r="G75" s="155">
        <f>G76</f>
        <v>3062.5</v>
      </c>
      <c r="H75" s="155">
        <f t="shared" ref="H75:I76" si="31">H76</f>
        <v>3062.5</v>
      </c>
      <c r="I75" s="155">
        <f t="shared" si="31"/>
        <v>3062.5</v>
      </c>
    </row>
    <row r="76" spans="1:9" s="118" customFormat="1" x14ac:dyDescent="0.25">
      <c r="A76" s="217"/>
      <c r="B76" s="152" t="s">
        <v>208</v>
      </c>
      <c r="C76" s="192"/>
      <c r="D76" s="433" t="s">
        <v>209</v>
      </c>
      <c r="E76" s="155"/>
      <c r="F76" s="155"/>
      <c r="G76" s="155">
        <f>G77</f>
        <v>3062.5</v>
      </c>
      <c r="H76" s="155">
        <f t="shared" si="31"/>
        <v>3062.5</v>
      </c>
      <c r="I76" s="155">
        <f t="shared" si="31"/>
        <v>3062.5</v>
      </c>
    </row>
    <row r="77" spans="1:9" s="118" customFormat="1" ht="31.5" x14ac:dyDescent="0.25">
      <c r="A77" s="217"/>
      <c r="B77" s="218" t="s">
        <v>689</v>
      </c>
      <c r="C77" s="217"/>
      <c r="D77" s="436" t="s">
        <v>675</v>
      </c>
      <c r="E77" s="163"/>
      <c r="F77" s="163"/>
      <c r="G77" s="163">
        <f>'Rekapitulacija Posebni dio'!E477</f>
        <v>3062.5</v>
      </c>
      <c r="H77" s="163">
        <f>'Rekapitulacija Posebni dio'!F477</f>
        <v>3062.5</v>
      </c>
      <c r="I77" s="163">
        <f>'Rekapitulacija Posebni dio'!G477</f>
        <v>3062.5</v>
      </c>
    </row>
    <row r="78" spans="1:9" s="118" customFormat="1" x14ac:dyDescent="0.25">
      <c r="A78" s="217"/>
      <c r="B78" s="152">
        <v>422</v>
      </c>
      <c r="C78" s="217"/>
      <c r="D78" s="192" t="s">
        <v>184</v>
      </c>
      <c r="E78" s="155" t="e">
        <f>E79+E82+E84+E86+E88</f>
        <v>#REF!</v>
      </c>
      <c r="F78" s="155" t="e">
        <f t="shared" ref="F78" si="32">F79+F82+F84+F86+F88</f>
        <v>#REF!</v>
      </c>
      <c r="G78" s="155">
        <f>G79+G82+G84+G86+G88+G90</f>
        <v>479140.49</v>
      </c>
      <c r="H78" s="155">
        <f t="shared" ref="H78:I78" si="33">H79+H82+H84+H86+H88+H90</f>
        <v>479140.49</v>
      </c>
      <c r="I78" s="155">
        <f t="shared" si="33"/>
        <v>479140.49</v>
      </c>
    </row>
    <row r="79" spans="1:9" s="118" customFormat="1" x14ac:dyDescent="0.25">
      <c r="A79" s="217"/>
      <c r="B79" s="152" t="s">
        <v>185</v>
      </c>
      <c r="C79" s="192"/>
      <c r="D79" s="192" t="s">
        <v>186</v>
      </c>
      <c r="E79" s="155" t="e">
        <f t="shared" ref="E79" si="34">SUM(E80:E81)</f>
        <v>#REF!</v>
      </c>
      <c r="F79" s="155" t="e">
        <f t="shared" ref="F79:I79" si="35">SUM(F80:F81)</f>
        <v>#REF!</v>
      </c>
      <c r="G79" s="155">
        <f>SUM(G80:G81)</f>
        <v>74651.66</v>
      </c>
      <c r="H79" s="155">
        <f t="shared" si="35"/>
        <v>74651.66</v>
      </c>
      <c r="I79" s="155">
        <f t="shared" si="35"/>
        <v>74651.66</v>
      </c>
    </row>
    <row r="80" spans="1:9" s="118" customFormat="1" x14ac:dyDescent="0.25">
      <c r="A80" s="217"/>
      <c r="B80" s="218" t="s">
        <v>531</v>
      </c>
      <c r="C80" s="217"/>
      <c r="D80" s="217" t="s">
        <v>464</v>
      </c>
      <c r="E80" s="163" t="e">
        <f>'Rekapitulacija Posebni dio'!C480+'Rekapitulacija Posebni dio'!#REF!+'Rekapitulacija Posebni dio'!#REF!</f>
        <v>#REF!</v>
      </c>
      <c r="F80" s="163" t="e">
        <f>'Rekapitulacija Posebni dio'!D480+'Rekapitulacija Posebni dio'!#REF!+'Rekapitulacija Posebni dio'!#REF!</f>
        <v>#REF!</v>
      </c>
      <c r="G80" s="163">
        <f>'Rekapitulacija Posebni dio'!E480</f>
        <v>43776.66</v>
      </c>
      <c r="H80" s="163">
        <f>'Rekapitulacija Posebni dio'!F480</f>
        <v>43776.66</v>
      </c>
      <c r="I80" s="163">
        <f>'Rekapitulacija Posebni dio'!G480</f>
        <v>43776.66</v>
      </c>
    </row>
    <row r="81" spans="1:9" s="118" customFormat="1" x14ac:dyDescent="0.25">
      <c r="A81" s="217"/>
      <c r="B81" s="218" t="s">
        <v>526</v>
      </c>
      <c r="C81" s="217"/>
      <c r="D81" s="217" t="s">
        <v>465</v>
      </c>
      <c r="E81" s="163" t="e">
        <f>'Rekapitulacija Posebni dio'!C481+'Rekapitulacija Posebni dio'!#REF!+'Rekapitulacija Posebni dio'!#REF!</f>
        <v>#REF!</v>
      </c>
      <c r="F81" s="163" t="e">
        <f>'Rekapitulacija Posebni dio'!D481+'Rekapitulacija Posebni dio'!#REF!+'Rekapitulacija Posebni dio'!#REF!</f>
        <v>#REF!</v>
      </c>
      <c r="G81" s="163">
        <f>'Rekapitulacija Posebni dio'!E481</f>
        <v>30875</v>
      </c>
      <c r="H81" s="163">
        <f>'Rekapitulacija Posebni dio'!F481</f>
        <v>30875</v>
      </c>
      <c r="I81" s="163">
        <f>'Rekapitulacija Posebni dio'!G481</f>
        <v>30875</v>
      </c>
    </row>
    <row r="82" spans="1:9" s="131" customFormat="1" x14ac:dyDescent="0.25">
      <c r="A82" s="192"/>
      <c r="B82" s="152" t="s">
        <v>187</v>
      </c>
      <c r="C82" s="192"/>
      <c r="D82" s="192" t="s">
        <v>188</v>
      </c>
      <c r="E82" s="155" t="e">
        <f>E83</f>
        <v>#REF!</v>
      </c>
      <c r="F82" s="155" t="e">
        <f t="shared" ref="F82:I82" si="36">F83</f>
        <v>#REF!</v>
      </c>
      <c r="G82" s="155">
        <f t="shared" si="36"/>
        <v>61.19</v>
      </c>
      <c r="H82" s="155">
        <f t="shared" si="36"/>
        <v>61.19</v>
      </c>
      <c r="I82" s="155">
        <f t="shared" si="36"/>
        <v>61.19</v>
      </c>
    </row>
    <row r="83" spans="1:9" s="118" customFormat="1" x14ac:dyDescent="0.25">
      <c r="A83" s="217"/>
      <c r="B83" s="218" t="s">
        <v>647</v>
      </c>
      <c r="C83" s="217"/>
      <c r="D83" s="442" t="s">
        <v>646</v>
      </c>
      <c r="E83" s="163" t="e">
        <f>'Rekapitulacija Posebni dio'!#REF!</f>
        <v>#REF!</v>
      </c>
      <c r="F83" s="163" t="e">
        <f>'Rekapitulacija Posebni dio'!#REF!</f>
        <v>#REF!</v>
      </c>
      <c r="G83" s="163">
        <f>'Rekapitulacija Posebni dio'!E483</f>
        <v>61.19</v>
      </c>
      <c r="H83" s="163">
        <f>'Rekapitulacija Posebni dio'!F483</f>
        <v>61.19</v>
      </c>
      <c r="I83" s="163">
        <f>'Rekapitulacija Posebni dio'!G483</f>
        <v>61.19</v>
      </c>
    </row>
    <row r="84" spans="1:9" s="118" customFormat="1" x14ac:dyDescent="0.25">
      <c r="A84" s="217"/>
      <c r="B84" s="152" t="s">
        <v>228</v>
      </c>
      <c r="C84" s="192"/>
      <c r="D84" s="192" t="s">
        <v>311</v>
      </c>
      <c r="E84" s="155" t="e">
        <f t="shared" ref="E84:I84" si="37">E85</f>
        <v>#REF!</v>
      </c>
      <c r="F84" s="155" t="e">
        <f t="shared" si="37"/>
        <v>#REF!</v>
      </c>
      <c r="G84" s="155">
        <f t="shared" si="37"/>
        <v>9191.75</v>
      </c>
      <c r="H84" s="155">
        <f t="shared" si="37"/>
        <v>9191.75</v>
      </c>
      <c r="I84" s="155">
        <f t="shared" si="37"/>
        <v>9191.75</v>
      </c>
    </row>
    <row r="85" spans="1:9" s="118" customFormat="1" x14ac:dyDescent="0.25">
      <c r="A85" s="217"/>
      <c r="B85" s="218" t="s">
        <v>690</v>
      </c>
      <c r="C85" s="217"/>
      <c r="D85" s="217" t="s">
        <v>467</v>
      </c>
      <c r="E85" s="163" t="e">
        <f>'Rekapitulacija Posebni dio'!C485+'Rekapitulacija Posebni dio'!#REF!+'Rekapitulacija Posebni dio'!#REF!</f>
        <v>#REF!</v>
      </c>
      <c r="F85" s="163" t="e">
        <f>'Rekapitulacija Posebni dio'!D485+'Rekapitulacija Posebni dio'!#REF!+'Rekapitulacija Posebni dio'!#REF!</f>
        <v>#REF!</v>
      </c>
      <c r="G85" s="163">
        <f>'Rekapitulacija Posebni dio'!E485</f>
        <v>9191.75</v>
      </c>
      <c r="H85" s="163">
        <f>'Rekapitulacija Posebni dio'!F485</f>
        <v>9191.75</v>
      </c>
      <c r="I85" s="163">
        <f>'Rekapitulacija Posebni dio'!G485</f>
        <v>9191.75</v>
      </c>
    </row>
    <row r="86" spans="1:9" s="118" customFormat="1" x14ac:dyDescent="0.25">
      <c r="A86" s="217"/>
      <c r="B86" s="174">
        <v>4224</v>
      </c>
      <c r="C86" s="156"/>
      <c r="D86" s="245" t="s">
        <v>190</v>
      </c>
      <c r="E86" s="155" t="e">
        <f t="shared" ref="E86:I86" si="38">SUM(E87)</f>
        <v>#REF!</v>
      </c>
      <c r="F86" s="155" t="e">
        <f t="shared" si="38"/>
        <v>#REF!</v>
      </c>
      <c r="G86" s="155">
        <f t="shared" si="38"/>
        <v>376267.39</v>
      </c>
      <c r="H86" s="155">
        <f t="shared" si="38"/>
        <v>376267.39</v>
      </c>
      <c r="I86" s="155">
        <f t="shared" si="38"/>
        <v>376267.39</v>
      </c>
    </row>
    <row r="87" spans="1:9" s="118" customFormat="1" x14ac:dyDescent="0.25">
      <c r="A87" s="180"/>
      <c r="B87" s="177">
        <v>42241</v>
      </c>
      <c r="C87" s="160"/>
      <c r="D87" s="246" t="s">
        <v>469</v>
      </c>
      <c r="E87" s="163" t="e">
        <f>'Rekapitulacija Posebni dio'!C487+'Rekapitulacija Posebni dio'!#REF!+'Rekapitulacija Posebni dio'!#REF!</f>
        <v>#REF!</v>
      </c>
      <c r="F87" s="163" t="e">
        <f>'Rekapitulacija Posebni dio'!D487+'Rekapitulacija Posebni dio'!#REF!+'Rekapitulacija Posebni dio'!#REF!</f>
        <v>#REF!</v>
      </c>
      <c r="G87" s="163">
        <f>'Rekapitulacija Posebni dio'!E487</f>
        <v>376267.39</v>
      </c>
      <c r="H87" s="163">
        <f>'Rekapitulacija Posebni dio'!F487</f>
        <v>376267.39</v>
      </c>
      <c r="I87" s="163">
        <f>'Rekapitulacija Posebni dio'!G487</f>
        <v>376267.39</v>
      </c>
    </row>
    <row r="88" spans="1:9" s="118" customFormat="1" x14ac:dyDescent="0.25">
      <c r="A88" s="180"/>
      <c r="B88" s="174">
        <v>4225</v>
      </c>
      <c r="C88" s="156"/>
      <c r="D88" s="245" t="s">
        <v>191</v>
      </c>
      <c r="E88" s="155" t="e">
        <f t="shared" ref="E88:I88" si="39">SUM(E89)</f>
        <v>#REF!</v>
      </c>
      <c r="F88" s="155" t="e">
        <f t="shared" si="39"/>
        <v>#REF!</v>
      </c>
      <c r="G88" s="155">
        <f t="shared" si="39"/>
        <v>15000</v>
      </c>
      <c r="H88" s="155">
        <f t="shared" si="39"/>
        <v>15000</v>
      </c>
      <c r="I88" s="155">
        <f t="shared" si="39"/>
        <v>15000</v>
      </c>
    </row>
    <row r="89" spans="1:9" s="118" customFormat="1" x14ac:dyDescent="0.25">
      <c r="A89" s="180"/>
      <c r="B89" s="177">
        <v>42251</v>
      </c>
      <c r="C89" s="160"/>
      <c r="D89" s="246" t="s">
        <v>676</v>
      </c>
      <c r="E89" s="163" t="e">
        <f>'Rekapitulacija Posebni dio'!C489+'Rekapitulacija Posebni dio'!#REF!+'Rekapitulacija Posebni dio'!#REF!</f>
        <v>#REF!</v>
      </c>
      <c r="F89" s="163" t="e">
        <f>'Rekapitulacija Posebni dio'!D489+'Rekapitulacija Posebni dio'!#REF!+'Rekapitulacija Posebni dio'!#REF!</f>
        <v>#REF!</v>
      </c>
      <c r="G89" s="163">
        <f>'Rekapitulacija Posebni dio'!E489</f>
        <v>15000</v>
      </c>
      <c r="H89" s="163">
        <f>'Rekapitulacija Posebni dio'!F489</f>
        <v>15000</v>
      </c>
      <c r="I89" s="163">
        <f>'Rekapitulacija Posebni dio'!G489</f>
        <v>15000</v>
      </c>
    </row>
    <row r="90" spans="1:9" s="131" customFormat="1" x14ac:dyDescent="0.25">
      <c r="A90" s="157"/>
      <c r="B90" s="174">
        <v>4227</v>
      </c>
      <c r="C90" s="156"/>
      <c r="D90" s="245" t="s">
        <v>192</v>
      </c>
      <c r="E90" s="155"/>
      <c r="F90" s="155"/>
      <c r="G90" s="155">
        <f>G91</f>
        <v>3968.5</v>
      </c>
      <c r="H90" s="155">
        <f t="shared" ref="H90:I90" si="40">H91</f>
        <v>3968.5</v>
      </c>
      <c r="I90" s="155">
        <f t="shared" si="40"/>
        <v>3968.5</v>
      </c>
    </row>
    <row r="91" spans="1:9" s="118" customFormat="1" x14ac:dyDescent="0.25">
      <c r="A91" s="180"/>
      <c r="B91" s="177">
        <v>42271</v>
      </c>
      <c r="C91" s="160"/>
      <c r="D91" s="246" t="s">
        <v>677</v>
      </c>
      <c r="E91" s="163"/>
      <c r="F91" s="163"/>
      <c r="G91" s="163">
        <f>'Rekapitulacija Posebni dio'!E491</f>
        <v>3968.5</v>
      </c>
      <c r="H91" s="163">
        <f>'Rekapitulacija Posebni dio'!F491</f>
        <v>3968.5</v>
      </c>
      <c r="I91" s="163">
        <f>'Rekapitulacija Posebni dio'!G491</f>
        <v>3968.5</v>
      </c>
    </row>
    <row r="92" spans="1:9" s="131" customFormat="1" x14ac:dyDescent="0.25">
      <c r="A92" s="157"/>
      <c r="B92" s="424">
        <v>423</v>
      </c>
      <c r="C92" s="156"/>
      <c r="D92" s="437" t="s">
        <v>193</v>
      </c>
      <c r="E92" s="155" t="e">
        <f>E93</f>
        <v>#REF!</v>
      </c>
      <c r="F92" s="155" t="e">
        <f t="shared" ref="F92:I93" si="41">F93</f>
        <v>#REF!</v>
      </c>
      <c r="G92" s="155">
        <f t="shared" si="41"/>
        <v>108000</v>
      </c>
      <c r="H92" s="155">
        <f t="shared" si="41"/>
        <v>108000</v>
      </c>
      <c r="I92" s="155">
        <f t="shared" si="41"/>
        <v>108000</v>
      </c>
    </row>
    <row r="93" spans="1:9" s="131" customFormat="1" x14ac:dyDescent="0.25">
      <c r="A93" s="157"/>
      <c r="B93" s="424">
        <v>4231</v>
      </c>
      <c r="C93" s="156"/>
      <c r="D93" s="437" t="s">
        <v>80</v>
      </c>
      <c r="E93" s="155" t="e">
        <f>E94</f>
        <v>#REF!</v>
      </c>
      <c r="F93" s="155" t="e">
        <f t="shared" si="41"/>
        <v>#REF!</v>
      </c>
      <c r="G93" s="155">
        <f t="shared" si="41"/>
        <v>108000</v>
      </c>
      <c r="H93" s="155">
        <f t="shared" si="41"/>
        <v>108000</v>
      </c>
      <c r="I93" s="155">
        <f t="shared" si="41"/>
        <v>108000</v>
      </c>
    </row>
    <row r="94" spans="1:9" s="118" customFormat="1" x14ac:dyDescent="0.25">
      <c r="A94" s="180"/>
      <c r="B94" s="335">
        <v>42311</v>
      </c>
      <c r="C94" s="160"/>
      <c r="D94" s="342" t="s">
        <v>471</v>
      </c>
      <c r="E94" s="163" t="e">
        <f>'Rekapitulacija Posebni dio'!#REF!</f>
        <v>#REF!</v>
      </c>
      <c r="F94" s="163" t="e">
        <f>'Rekapitulacija Posebni dio'!#REF!</f>
        <v>#REF!</v>
      </c>
      <c r="G94" s="163">
        <f>'Rekapitulacija Posebni dio'!E494</f>
        <v>108000</v>
      </c>
      <c r="H94" s="163">
        <f>'Rekapitulacija Posebni dio'!F494</f>
        <v>108000</v>
      </c>
      <c r="I94" s="163">
        <f>'Rekapitulacija Posebni dio'!G494</f>
        <v>108000</v>
      </c>
    </row>
    <row r="95" spans="1:9" s="131" customFormat="1" x14ac:dyDescent="0.25">
      <c r="A95" s="157"/>
      <c r="B95" s="340">
        <v>426</v>
      </c>
      <c r="C95" s="156"/>
      <c r="D95" s="433" t="s">
        <v>312</v>
      </c>
      <c r="E95" s="155" t="e">
        <f>E96</f>
        <v>#REF!</v>
      </c>
      <c r="F95" s="155" t="e">
        <f t="shared" ref="F95:I96" si="42">F96</f>
        <v>#REF!</v>
      </c>
      <c r="G95" s="155">
        <f t="shared" si="42"/>
        <v>2000</v>
      </c>
      <c r="H95" s="155">
        <f t="shared" si="42"/>
        <v>2000</v>
      </c>
      <c r="I95" s="155">
        <f t="shared" si="42"/>
        <v>2000</v>
      </c>
    </row>
    <row r="96" spans="1:9" s="131" customFormat="1" x14ac:dyDescent="0.25">
      <c r="A96" s="157"/>
      <c r="B96" s="340">
        <v>4262</v>
      </c>
      <c r="C96" s="156"/>
      <c r="D96" s="433" t="s">
        <v>195</v>
      </c>
      <c r="E96" s="155" t="e">
        <f>E97</f>
        <v>#REF!</v>
      </c>
      <c r="F96" s="155" t="e">
        <f t="shared" si="42"/>
        <v>#REF!</v>
      </c>
      <c r="G96" s="155">
        <f t="shared" si="42"/>
        <v>2000</v>
      </c>
      <c r="H96" s="155">
        <f t="shared" si="42"/>
        <v>2000</v>
      </c>
      <c r="I96" s="155">
        <f t="shared" si="42"/>
        <v>2000</v>
      </c>
    </row>
    <row r="97" spans="1:9" s="118" customFormat="1" x14ac:dyDescent="0.25">
      <c r="A97" s="180"/>
      <c r="B97" s="337">
        <v>42621</v>
      </c>
      <c r="C97" s="160"/>
      <c r="D97" s="442" t="s">
        <v>195</v>
      </c>
      <c r="E97" s="163" t="e">
        <f>'Rekapitulacija Posebni dio'!#REF!</f>
        <v>#REF!</v>
      </c>
      <c r="F97" s="163" t="e">
        <f>'Rekapitulacija Posebni dio'!#REF!</f>
        <v>#REF!</v>
      </c>
      <c r="G97" s="163">
        <f>'Rekapitulacija Posebni dio'!E497</f>
        <v>2000</v>
      </c>
      <c r="H97" s="163">
        <f>'Rekapitulacija Posebni dio'!F497</f>
        <v>2000</v>
      </c>
      <c r="I97" s="163">
        <f>'Rekapitulacija Posebni dio'!G497</f>
        <v>2000</v>
      </c>
    </row>
    <row r="98" spans="1:9" s="118" customFormat="1" x14ac:dyDescent="0.25">
      <c r="A98" s="180"/>
      <c r="B98" s="133" t="s">
        <v>196</v>
      </c>
      <c r="C98" s="203"/>
      <c r="D98" s="242" t="s">
        <v>199</v>
      </c>
      <c r="E98" s="168" t="e">
        <f t="shared" ref="E98:I98" si="43">E99</f>
        <v>#REF!</v>
      </c>
      <c r="F98" s="168" t="e">
        <f t="shared" si="43"/>
        <v>#REF!</v>
      </c>
      <c r="G98" s="168">
        <f t="shared" si="43"/>
        <v>176000</v>
      </c>
      <c r="H98" s="168">
        <f t="shared" si="43"/>
        <v>176000</v>
      </c>
      <c r="I98" s="168">
        <f t="shared" si="43"/>
        <v>176000</v>
      </c>
    </row>
    <row r="99" spans="1:9" s="118" customFormat="1" x14ac:dyDescent="0.25">
      <c r="A99" s="180"/>
      <c r="B99" s="152" t="s">
        <v>198</v>
      </c>
      <c r="C99" s="217"/>
      <c r="D99" s="192" t="s">
        <v>207</v>
      </c>
      <c r="E99" s="155" t="e">
        <f t="shared" ref="E99:I100" si="44">SUM(E100)</f>
        <v>#REF!</v>
      </c>
      <c r="F99" s="155" t="e">
        <f t="shared" si="44"/>
        <v>#REF!</v>
      </c>
      <c r="G99" s="155">
        <f t="shared" si="44"/>
        <v>176000</v>
      </c>
      <c r="H99" s="155">
        <f t="shared" si="44"/>
        <v>176000</v>
      </c>
      <c r="I99" s="155">
        <f t="shared" si="44"/>
        <v>176000</v>
      </c>
    </row>
    <row r="100" spans="1:9" s="118" customFormat="1" x14ac:dyDescent="0.25">
      <c r="A100" s="180"/>
      <c r="B100" s="152" t="s">
        <v>200</v>
      </c>
      <c r="C100" s="192"/>
      <c r="D100" s="192" t="s">
        <v>199</v>
      </c>
      <c r="E100" s="155" t="e">
        <f t="shared" si="44"/>
        <v>#REF!</v>
      </c>
      <c r="F100" s="155" t="e">
        <f t="shared" si="44"/>
        <v>#REF!</v>
      </c>
      <c r="G100" s="155">
        <f t="shared" si="44"/>
        <v>176000</v>
      </c>
      <c r="H100" s="155">
        <f t="shared" si="44"/>
        <v>176000</v>
      </c>
      <c r="I100" s="155">
        <f t="shared" si="44"/>
        <v>176000</v>
      </c>
    </row>
    <row r="101" spans="1:9" s="118" customFormat="1" x14ac:dyDescent="0.25">
      <c r="A101" s="180"/>
      <c r="B101" s="218" t="s">
        <v>513</v>
      </c>
      <c r="C101" s="217"/>
      <c r="D101" s="217" t="s">
        <v>199</v>
      </c>
      <c r="E101" s="163" t="e">
        <f>'Rekapitulacija Posebni dio'!C501+'Rekapitulacija Posebni dio'!#REF!+'Rekapitulacija Posebni dio'!#REF!</f>
        <v>#REF!</v>
      </c>
      <c r="F101" s="163" t="e">
        <f>'Rekapitulacija Posebni dio'!D501+'Rekapitulacija Posebni dio'!#REF!+'Rekapitulacija Posebni dio'!#REF!</f>
        <v>#REF!</v>
      </c>
      <c r="G101" s="163">
        <f>'Rekapitulacija Posebni dio'!E501</f>
        <v>176000</v>
      </c>
      <c r="H101" s="163">
        <f>'Rekapitulacija Posebni dio'!F501</f>
        <v>176000</v>
      </c>
      <c r="I101" s="163">
        <f>'Rekapitulacija Posebni dio'!G501</f>
        <v>176000</v>
      </c>
    </row>
    <row r="102" spans="1:9" s="118" customFormat="1" x14ac:dyDescent="0.25">
      <c r="A102" s="362"/>
      <c r="B102" s="362"/>
      <c r="C102" s="262">
        <v>11</v>
      </c>
      <c r="D102" s="263" t="s">
        <v>15</v>
      </c>
      <c r="E102" s="264" t="e">
        <f>E11+E69</f>
        <v>#REF!</v>
      </c>
      <c r="F102" s="264" t="e">
        <f>F11+F69</f>
        <v>#REF!</v>
      </c>
      <c r="G102" s="264">
        <f>G11+G69</f>
        <v>1250606.02</v>
      </c>
      <c r="H102" s="264">
        <f>H11+H69</f>
        <v>1250606.02</v>
      </c>
      <c r="I102" s="264">
        <f>I11+I69</f>
        <v>1250606.02</v>
      </c>
    </row>
    <row r="103" spans="1:9" s="118" customFormat="1" x14ac:dyDescent="0.25">
      <c r="A103" s="362"/>
      <c r="B103" s="362"/>
      <c r="C103" s="523" t="s">
        <v>717</v>
      </c>
      <c r="D103" s="524" t="s">
        <v>718</v>
      </c>
      <c r="E103" s="528"/>
      <c r="F103" s="528"/>
      <c r="G103" s="528">
        <f>G102</f>
        <v>1250606.02</v>
      </c>
      <c r="H103" s="528">
        <f t="shared" ref="H103:I103" si="45">H102</f>
        <v>1250606.02</v>
      </c>
      <c r="I103" s="528">
        <f t="shared" si="45"/>
        <v>1250606.02</v>
      </c>
    </row>
    <row r="104" spans="1:9" s="118" customFormat="1" x14ac:dyDescent="0.25">
      <c r="A104" s="212" t="s">
        <v>86</v>
      </c>
      <c r="B104" s="212"/>
      <c r="C104" s="213"/>
      <c r="D104" s="214" t="s">
        <v>87</v>
      </c>
      <c r="E104" s="215">
        <f>E105+E124+E200+E208+E211</f>
        <v>0</v>
      </c>
      <c r="F104" s="215">
        <f>F105+F124+F200+F208+F211</f>
        <v>0</v>
      </c>
      <c r="G104" s="215">
        <f>G105+G124+G200+G208+G211</f>
        <v>3804916.33</v>
      </c>
      <c r="H104" s="215">
        <f>H105+H124+H200+H208+H211</f>
        <v>3850540.33</v>
      </c>
      <c r="I104" s="215">
        <f>I105+I124+I200+I208+I211</f>
        <v>3882388.81</v>
      </c>
    </row>
    <row r="105" spans="1:9" s="118" customFormat="1" x14ac:dyDescent="0.25">
      <c r="A105" s="192"/>
      <c r="B105" s="133">
        <v>31</v>
      </c>
      <c r="C105" s="203"/>
      <c r="D105" s="216" t="s">
        <v>88</v>
      </c>
      <c r="E105" s="136">
        <f t="shared" ref="E105" si="46">E106+E113+E121</f>
        <v>0</v>
      </c>
      <c r="F105" s="136">
        <f t="shared" ref="F105:I105" si="47">F106+F113+F121</f>
        <v>0</v>
      </c>
      <c r="G105" s="136">
        <f t="shared" si="47"/>
        <v>1338150.7</v>
      </c>
      <c r="H105" s="136">
        <f t="shared" si="47"/>
        <v>1363555.1500000001</v>
      </c>
      <c r="I105" s="136">
        <f t="shared" si="47"/>
        <v>1389467.6900000002</v>
      </c>
    </row>
    <row r="106" spans="1:9" s="118" customFormat="1" x14ac:dyDescent="0.25">
      <c r="A106" s="192"/>
      <c r="B106" s="152">
        <v>311</v>
      </c>
      <c r="C106" s="217"/>
      <c r="D106" s="192" t="s">
        <v>89</v>
      </c>
      <c r="E106" s="155">
        <f t="shared" ref="E106" si="48">E107+E111</f>
        <v>0</v>
      </c>
      <c r="F106" s="155">
        <f t="shared" ref="F106:I106" si="49">F107+F111</f>
        <v>0</v>
      </c>
      <c r="G106" s="155">
        <f t="shared" si="49"/>
        <v>942112.26</v>
      </c>
      <c r="H106" s="155">
        <f t="shared" si="49"/>
        <v>951512.26</v>
      </c>
      <c r="I106" s="155">
        <f t="shared" si="49"/>
        <v>959232.56</v>
      </c>
    </row>
    <row r="107" spans="1:9" s="118" customFormat="1" x14ac:dyDescent="0.25">
      <c r="A107" s="192"/>
      <c r="B107" s="152">
        <v>3111</v>
      </c>
      <c r="C107" s="192"/>
      <c r="D107" s="192" t="s">
        <v>90</v>
      </c>
      <c r="E107" s="155">
        <f t="shared" ref="E107:I107" si="50">SUM(E108)</f>
        <v>0</v>
      </c>
      <c r="F107" s="155">
        <f t="shared" si="50"/>
        <v>0</v>
      </c>
      <c r="G107" s="155">
        <f t="shared" si="50"/>
        <v>942112.26</v>
      </c>
      <c r="H107" s="155">
        <f t="shared" si="50"/>
        <v>951512.26</v>
      </c>
      <c r="I107" s="155">
        <f t="shared" si="50"/>
        <v>959232.56</v>
      </c>
    </row>
    <row r="108" spans="1:9" s="118" customFormat="1" x14ac:dyDescent="0.25">
      <c r="A108" s="217"/>
      <c r="B108" s="218" t="s">
        <v>484</v>
      </c>
      <c r="C108" s="217"/>
      <c r="D108" s="217" t="s">
        <v>90</v>
      </c>
      <c r="E108" s="163">
        <f>'Rekapitulacija Posebni dio'!C221</f>
        <v>0</v>
      </c>
      <c r="F108" s="163">
        <f>'Rekapitulacija Posebni dio'!D221</f>
        <v>0</v>
      </c>
      <c r="G108" s="163">
        <f>'Rekapitulacija Posebni dio'!E221</f>
        <v>942112.26</v>
      </c>
      <c r="H108" s="163">
        <f>'Rekapitulacija Posebni dio'!F221</f>
        <v>951512.26</v>
      </c>
      <c r="I108" s="163">
        <f>'Rekapitulacija Posebni dio'!G221</f>
        <v>959232.56</v>
      </c>
    </row>
    <row r="109" spans="1:9" s="131" customFormat="1" hidden="1" x14ac:dyDescent="0.25">
      <c r="A109" s="217"/>
      <c r="B109" s="152" t="s">
        <v>91</v>
      </c>
      <c r="C109" s="192"/>
      <c r="D109" s="192" t="s">
        <v>92</v>
      </c>
      <c r="E109" s="155"/>
      <c r="F109" s="155"/>
      <c r="G109" s="155"/>
      <c r="H109" s="155"/>
      <c r="I109" s="155"/>
    </row>
    <row r="110" spans="1:9" s="131" customFormat="1" hidden="1" x14ac:dyDescent="0.25">
      <c r="A110" s="217"/>
      <c r="B110" s="152" t="s">
        <v>93</v>
      </c>
      <c r="C110" s="192"/>
      <c r="D110" s="192" t="s">
        <v>94</v>
      </c>
      <c r="E110" s="155"/>
      <c r="F110" s="155"/>
      <c r="G110" s="155"/>
      <c r="H110" s="155"/>
      <c r="I110" s="155"/>
    </row>
    <row r="111" spans="1:9" s="131" customFormat="1" hidden="1" x14ac:dyDescent="0.25">
      <c r="A111" s="217"/>
      <c r="B111" s="152" t="s">
        <v>95</v>
      </c>
      <c r="C111" s="192"/>
      <c r="D111" s="192" t="s">
        <v>96</v>
      </c>
      <c r="E111" s="155">
        <f t="shared" ref="E111:I111" si="51">SUM(E112)</f>
        <v>0</v>
      </c>
      <c r="F111" s="155">
        <f t="shared" si="51"/>
        <v>0</v>
      </c>
      <c r="G111" s="155">
        <f t="shared" si="51"/>
        <v>0</v>
      </c>
      <c r="H111" s="155">
        <f t="shared" si="51"/>
        <v>0</v>
      </c>
      <c r="I111" s="155">
        <f t="shared" si="51"/>
        <v>0</v>
      </c>
    </row>
    <row r="112" spans="1:9" s="118" customFormat="1" ht="15.75" hidden="1" customHeight="1" x14ac:dyDescent="0.25">
      <c r="A112" s="217"/>
      <c r="B112" s="218" t="s">
        <v>487</v>
      </c>
      <c r="C112" s="217"/>
      <c r="D112" s="217" t="s">
        <v>96</v>
      </c>
      <c r="E112" s="163">
        <f>'Rekapitulacija Posebni dio'!C225</f>
        <v>0</v>
      </c>
      <c r="F112" s="163">
        <f>'Rekapitulacija Posebni dio'!D225</f>
        <v>0</v>
      </c>
      <c r="G112" s="163">
        <f>'Rekapitulacija Posebni dio'!E225</f>
        <v>0</v>
      </c>
      <c r="H112" s="163">
        <f>'Rekapitulacija Posebni dio'!F225</f>
        <v>0</v>
      </c>
      <c r="I112" s="163">
        <f>'Rekapitulacija Posebni dio'!G225</f>
        <v>0</v>
      </c>
    </row>
    <row r="113" spans="1:9" s="118" customFormat="1" ht="15.75" customHeight="1" x14ac:dyDescent="0.25">
      <c r="A113" s="192"/>
      <c r="B113" s="152" t="s">
        <v>97</v>
      </c>
      <c r="C113" s="192"/>
      <c r="D113" s="192" t="s">
        <v>98</v>
      </c>
      <c r="E113" s="155">
        <f t="shared" ref="E113:I113" si="52">SUM(E114)</f>
        <v>0</v>
      </c>
      <c r="F113" s="155">
        <f t="shared" si="52"/>
        <v>0</v>
      </c>
      <c r="G113" s="155">
        <f t="shared" si="52"/>
        <v>158231.67999999999</v>
      </c>
      <c r="H113" s="155">
        <f t="shared" si="52"/>
        <v>163186.13</v>
      </c>
      <c r="I113" s="155">
        <f t="shared" si="52"/>
        <v>168278.37</v>
      </c>
    </row>
    <row r="114" spans="1:9" s="118" customFormat="1" ht="15.75" customHeight="1" x14ac:dyDescent="0.25">
      <c r="A114" s="192"/>
      <c r="B114" s="152" t="s">
        <v>99</v>
      </c>
      <c r="C114" s="192"/>
      <c r="D114" s="192" t="s">
        <v>98</v>
      </c>
      <c r="E114" s="155">
        <f>SUM(E115:E120)</f>
        <v>0</v>
      </c>
      <c r="F114" s="155">
        <f t="shared" ref="F114:I114" si="53">SUM(F115:F120)</f>
        <v>0</v>
      </c>
      <c r="G114" s="155">
        <f t="shared" si="53"/>
        <v>158231.67999999999</v>
      </c>
      <c r="H114" s="155">
        <f t="shared" si="53"/>
        <v>163186.13</v>
      </c>
      <c r="I114" s="155">
        <f t="shared" si="53"/>
        <v>168278.37</v>
      </c>
    </row>
    <row r="115" spans="1:9" s="118" customFormat="1" ht="15.75" customHeight="1" x14ac:dyDescent="0.25">
      <c r="A115" s="217"/>
      <c r="B115" s="218" t="s">
        <v>489</v>
      </c>
      <c r="C115" s="217"/>
      <c r="D115" s="217" t="s">
        <v>404</v>
      </c>
      <c r="E115" s="163">
        <f>'Rekapitulacija Posebni dio'!C228</f>
        <v>0</v>
      </c>
      <c r="F115" s="163">
        <f>'Rekapitulacija Posebni dio'!D228</f>
        <v>0</v>
      </c>
      <c r="G115" s="163">
        <f>'Rekapitulacija Posebni dio'!E228</f>
        <v>9700</v>
      </c>
      <c r="H115" s="163">
        <f>'Rekapitulacija Posebni dio'!F228</f>
        <v>9950</v>
      </c>
      <c r="I115" s="163">
        <f>'Rekapitulacija Posebni dio'!G228</f>
        <v>10250</v>
      </c>
    </row>
    <row r="116" spans="1:9" s="118" customFormat="1" ht="15.75" customHeight="1" x14ac:dyDescent="0.25">
      <c r="A116" s="217"/>
      <c r="B116" s="218" t="s">
        <v>490</v>
      </c>
      <c r="C116" s="217"/>
      <c r="D116" s="217" t="s">
        <v>403</v>
      </c>
      <c r="E116" s="163">
        <f>'Rekapitulacija Posebni dio'!C229</f>
        <v>0</v>
      </c>
      <c r="F116" s="163">
        <f>'Rekapitulacija Posebni dio'!D229</f>
        <v>0</v>
      </c>
      <c r="G116" s="163">
        <f>'Rekapitulacija Posebni dio'!E229</f>
        <v>16000</v>
      </c>
      <c r="H116" s="163">
        <f>'Rekapitulacija Posebni dio'!F229</f>
        <v>16500</v>
      </c>
      <c r="I116" s="163">
        <f>'Rekapitulacija Posebni dio'!G229</f>
        <v>17000</v>
      </c>
    </row>
    <row r="117" spans="1:9" s="118" customFormat="1" ht="15.75" customHeight="1" x14ac:dyDescent="0.25">
      <c r="A117" s="217"/>
      <c r="B117" s="218" t="s">
        <v>491</v>
      </c>
      <c r="C117" s="217"/>
      <c r="D117" s="217" t="s">
        <v>405</v>
      </c>
      <c r="E117" s="163">
        <f>'Rekapitulacija Posebni dio'!C230</f>
        <v>0</v>
      </c>
      <c r="F117" s="163">
        <f>'Rekapitulacija Posebni dio'!D230</f>
        <v>0</v>
      </c>
      <c r="G117" s="163">
        <f>'Rekapitulacija Posebni dio'!E230</f>
        <v>10000</v>
      </c>
      <c r="H117" s="163">
        <f>'Rekapitulacija Posebni dio'!F230</f>
        <v>11000</v>
      </c>
      <c r="I117" s="163">
        <f>'Rekapitulacija Posebni dio'!G230</f>
        <v>12000</v>
      </c>
    </row>
    <row r="118" spans="1:9" s="118" customFormat="1" ht="15.75" customHeight="1" x14ac:dyDescent="0.25">
      <c r="A118" s="217"/>
      <c r="B118" s="218" t="s">
        <v>492</v>
      </c>
      <c r="C118" s="217"/>
      <c r="D118" s="217" t="s">
        <v>406</v>
      </c>
      <c r="E118" s="163">
        <f>'Rekapitulacija Posebni dio'!C231</f>
        <v>0</v>
      </c>
      <c r="F118" s="163">
        <f>'Rekapitulacija Posebni dio'!D231</f>
        <v>0</v>
      </c>
      <c r="G118" s="163">
        <f>'Rekapitulacija Posebni dio'!E231</f>
        <v>45150</v>
      </c>
      <c r="H118" s="163">
        <f>'Rekapitulacija Posebni dio'!F231</f>
        <v>46150</v>
      </c>
      <c r="I118" s="163">
        <f>'Rekapitulacija Posebni dio'!G231</f>
        <v>47150</v>
      </c>
    </row>
    <row r="119" spans="1:9" s="118" customFormat="1" ht="15.75" customHeight="1" x14ac:dyDescent="0.25">
      <c r="A119" s="217"/>
      <c r="B119" s="218" t="s">
        <v>629</v>
      </c>
      <c r="C119" s="217"/>
      <c r="D119" s="217" t="s">
        <v>630</v>
      </c>
      <c r="E119" s="163">
        <f>'Rekapitulacija Posebni dio'!C232</f>
        <v>0</v>
      </c>
      <c r="F119" s="163">
        <f>'Rekapitulacija Posebni dio'!D232</f>
        <v>0</v>
      </c>
      <c r="G119" s="163">
        <f>'Rekapitulacija Posebni dio'!E232</f>
        <v>63400</v>
      </c>
      <c r="H119" s="163">
        <f>'Rekapitulacija Posebni dio'!F232</f>
        <v>64600</v>
      </c>
      <c r="I119" s="163">
        <f>'Rekapitulacija Posebni dio'!G232</f>
        <v>65880</v>
      </c>
    </row>
    <row r="120" spans="1:9" s="118" customFormat="1" ht="15.75" customHeight="1" x14ac:dyDescent="0.25">
      <c r="A120" s="217"/>
      <c r="B120" s="218" t="s">
        <v>493</v>
      </c>
      <c r="C120" s="217"/>
      <c r="D120" s="217" t="s">
        <v>401</v>
      </c>
      <c r="E120" s="163">
        <f>'Rekapitulacija Posebni dio'!C233</f>
        <v>0</v>
      </c>
      <c r="F120" s="163">
        <f>'Rekapitulacija Posebni dio'!D233</f>
        <v>0</v>
      </c>
      <c r="G120" s="163">
        <f>'Rekapitulacija Posebni dio'!E233</f>
        <v>13981.68</v>
      </c>
      <c r="H120" s="163">
        <f>'Rekapitulacija Posebni dio'!F233</f>
        <v>14986.13</v>
      </c>
      <c r="I120" s="163">
        <f>'Rekapitulacija Posebni dio'!G233</f>
        <v>15998.37</v>
      </c>
    </row>
    <row r="121" spans="1:9" s="131" customFormat="1" ht="15.75" customHeight="1" x14ac:dyDescent="0.25">
      <c r="A121" s="192"/>
      <c r="B121" s="156">
        <v>313</v>
      </c>
      <c r="C121" s="192"/>
      <c r="D121" s="192" t="s">
        <v>100</v>
      </c>
      <c r="E121" s="221">
        <f t="shared" ref="E121:I122" si="54">SUM(E122)</f>
        <v>0</v>
      </c>
      <c r="F121" s="221">
        <f t="shared" si="54"/>
        <v>0</v>
      </c>
      <c r="G121" s="221">
        <f t="shared" si="54"/>
        <v>237806.76</v>
      </c>
      <c r="H121" s="221">
        <f t="shared" si="54"/>
        <v>248856.76</v>
      </c>
      <c r="I121" s="221">
        <f t="shared" si="54"/>
        <v>261956.76</v>
      </c>
    </row>
    <row r="122" spans="1:9" s="131" customFormat="1" ht="15.75" customHeight="1" x14ac:dyDescent="0.25">
      <c r="A122" s="192"/>
      <c r="B122" s="156">
        <v>3132</v>
      </c>
      <c r="C122" s="192"/>
      <c r="D122" s="192" t="s">
        <v>101</v>
      </c>
      <c r="E122" s="221">
        <f t="shared" si="54"/>
        <v>0</v>
      </c>
      <c r="F122" s="221">
        <f t="shared" si="54"/>
        <v>0</v>
      </c>
      <c r="G122" s="221">
        <f t="shared" si="54"/>
        <v>237806.76</v>
      </c>
      <c r="H122" s="221">
        <f t="shared" si="54"/>
        <v>248856.76</v>
      </c>
      <c r="I122" s="221">
        <f t="shared" si="54"/>
        <v>261956.76</v>
      </c>
    </row>
    <row r="123" spans="1:9" s="131" customFormat="1" ht="15.75" customHeight="1" x14ac:dyDescent="0.25">
      <c r="A123" s="217"/>
      <c r="B123" s="160" t="s">
        <v>494</v>
      </c>
      <c r="C123" s="217"/>
      <c r="D123" s="217" t="s">
        <v>101</v>
      </c>
      <c r="E123" s="222">
        <f>'Rekapitulacija Posebni dio'!C236</f>
        <v>0</v>
      </c>
      <c r="F123" s="222">
        <f>'Rekapitulacija Posebni dio'!D236</f>
        <v>0</v>
      </c>
      <c r="G123" s="222">
        <f>'Rekapitulacija Posebni dio'!E236</f>
        <v>237806.76</v>
      </c>
      <c r="H123" s="222">
        <f>'Rekapitulacija Posebni dio'!F236</f>
        <v>248856.76</v>
      </c>
      <c r="I123" s="222">
        <f>'Rekapitulacija Posebni dio'!G236</f>
        <v>261956.76</v>
      </c>
    </row>
    <row r="124" spans="1:9" s="131" customFormat="1" x14ac:dyDescent="0.25">
      <c r="A124" s="192"/>
      <c r="B124" s="133">
        <v>32</v>
      </c>
      <c r="C124" s="203"/>
      <c r="D124" s="216" t="s">
        <v>102</v>
      </c>
      <c r="E124" s="136">
        <f>E125+E138+E154+E180+E188</f>
        <v>0</v>
      </c>
      <c r="F124" s="136">
        <f>F125+F138+F154+F180+F188</f>
        <v>0</v>
      </c>
      <c r="G124" s="136">
        <f>G125+G138+G154+G180+G188</f>
        <v>2458865.63</v>
      </c>
      <c r="H124" s="136">
        <f>H125+H138+H154+H180+H188</f>
        <v>2478927.1799999997</v>
      </c>
      <c r="I124" s="136">
        <f>I125+I138+I154+I180+I188</f>
        <v>2484701.96</v>
      </c>
    </row>
    <row r="125" spans="1:9" s="131" customFormat="1" ht="15.75" customHeight="1" x14ac:dyDescent="0.25">
      <c r="A125" s="192"/>
      <c r="B125" s="152">
        <v>321</v>
      </c>
      <c r="C125" s="192"/>
      <c r="D125" s="192" t="s">
        <v>103</v>
      </c>
      <c r="E125" s="155">
        <f t="shared" ref="E125" si="55">E126+E131+E134+E137</f>
        <v>0</v>
      </c>
      <c r="F125" s="155">
        <f t="shared" ref="F125:I125" si="56">F126+F131+F134+F137</f>
        <v>0</v>
      </c>
      <c r="G125" s="155">
        <f t="shared" si="56"/>
        <v>141199.5</v>
      </c>
      <c r="H125" s="155">
        <f t="shared" si="56"/>
        <v>143653.64999999997</v>
      </c>
      <c r="I125" s="155">
        <f t="shared" si="56"/>
        <v>146128.43</v>
      </c>
    </row>
    <row r="126" spans="1:9" s="131" customFormat="1" ht="15.75" customHeight="1" x14ac:dyDescent="0.25">
      <c r="A126" s="192"/>
      <c r="B126" s="152" t="s">
        <v>104</v>
      </c>
      <c r="C126" s="192"/>
      <c r="D126" s="192" t="s">
        <v>105</v>
      </c>
      <c r="E126" s="155">
        <f>SUM(E127:E130)</f>
        <v>0</v>
      </c>
      <c r="F126" s="155">
        <f t="shared" ref="F126:I126" si="57">SUM(F127:F130)</f>
        <v>0</v>
      </c>
      <c r="G126" s="155">
        <f t="shared" si="57"/>
        <v>9263.61</v>
      </c>
      <c r="H126" s="155">
        <f t="shared" si="57"/>
        <v>9463.61</v>
      </c>
      <c r="I126" s="155">
        <f t="shared" si="57"/>
        <v>9663.61</v>
      </c>
    </row>
    <row r="127" spans="1:9" s="118" customFormat="1" ht="15.75" customHeight="1" x14ac:dyDescent="0.25">
      <c r="A127" s="217"/>
      <c r="B127" s="218" t="s">
        <v>525</v>
      </c>
      <c r="C127" s="217"/>
      <c r="D127" s="217" t="s">
        <v>407</v>
      </c>
      <c r="E127" s="163">
        <f>'Rekapitulacija Posebni dio'!C240</f>
        <v>0</v>
      </c>
      <c r="F127" s="163">
        <f>'Rekapitulacija Posebni dio'!D240</f>
        <v>0</v>
      </c>
      <c r="G127" s="163">
        <f>'Rekapitulacija Posebni dio'!E240</f>
        <v>6500</v>
      </c>
      <c r="H127" s="163">
        <f>'Rekapitulacija Posebni dio'!F240</f>
        <v>6700</v>
      </c>
      <c r="I127" s="163">
        <f>'Rekapitulacija Posebni dio'!G240</f>
        <v>6900</v>
      </c>
    </row>
    <row r="128" spans="1:9" s="118" customFormat="1" ht="15.75" customHeight="1" x14ac:dyDescent="0.25">
      <c r="A128" s="217"/>
      <c r="B128" s="218" t="s">
        <v>532</v>
      </c>
      <c r="C128" s="217"/>
      <c r="D128" s="217" t="s">
        <v>409</v>
      </c>
      <c r="E128" s="163">
        <f>'Rekapitulacija Posebni dio'!C241</f>
        <v>0</v>
      </c>
      <c r="F128" s="163">
        <f>'Rekapitulacija Posebni dio'!D241</f>
        <v>0</v>
      </c>
      <c r="G128" s="163">
        <f>'Rekapitulacija Posebni dio'!E241</f>
        <v>1000</v>
      </c>
      <c r="H128" s="163">
        <f>'Rekapitulacija Posebni dio'!F241</f>
        <v>1000</v>
      </c>
      <c r="I128" s="163">
        <f>'Rekapitulacija Posebni dio'!G241</f>
        <v>1000</v>
      </c>
    </row>
    <row r="129" spans="1:9" s="118" customFormat="1" ht="15.75" customHeight="1" x14ac:dyDescent="0.25">
      <c r="A129" s="217"/>
      <c r="B129" s="218" t="s">
        <v>514</v>
      </c>
      <c r="C129" s="217"/>
      <c r="D129" s="217" t="s">
        <v>410</v>
      </c>
      <c r="E129" s="163">
        <f>'Rekapitulacija Posebni dio'!C242</f>
        <v>0</v>
      </c>
      <c r="F129" s="163">
        <f>'Rekapitulacija Posebni dio'!D242</f>
        <v>0</v>
      </c>
      <c r="G129" s="163">
        <f>'Rekapitulacija Posebni dio'!E242</f>
        <v>763.61</v>
      </c>
      <c r="H129" s="163">
        <f>'Rekapitulacija Posebni dio'!F242</f>
        <v>763.61</v>
      </c>
      <c r="I129" s="163">
        <f>'Rekapitulacija Posebni dio'!G242</f>
        <v>763.61</v>
      </c>
    </row>
    <row r="130" spans="1:9" s="118" customFormat="1" ht="15.75" customHeight="1" x14ac:dyDescent="0.25">
      <c r="A130" s="217"/>
      <c r="B130" s="218" t="s">
        <v>592</v>
      </c>
      <c r="C130" s="217"/>
      <c r="D130" s="217" t="s">
        <v>593</v>
      </c>
      <c r="E130" s="163">
        <f>'Rekapitulacija Posebni dio'!C243</f>
        <v>0</v>
      </c>
      <c r="F130" s="163">
        <f>'Rekapitulacija Posebni dio'!D243</f>
        <v>0</v>
      </c>
      <c r="G130" s="163">
        <f>'Rekapitulacija Posebni dio'!E243</f>
        <v>1000</v>
      </c>
      <c r="H130" s="163">
        <f>'Rekapitulacija Posebni dio'!F243</f>
        <v>1000</v>
      </c>
      <c r="I130" s="163">
        <f>'Rekapitulacija Posebni dio'!G243</f>
        <v>1000</v>
      </c>
    </row>
    <row r="131" spans="1:9" s="131" customFormat="1" ht="15.75" customHeight="1" x14ac:dyDescent="0.25">
      <c r="A131" s="217"/>
      <c r="B131" s="152" t="s">
        <v>106</v>
      </c>
      <c r="C131" s="192"/>
      <c r="D131" s="226" t="s">
        <v>107</v>
      </c>
      <c r="E131" s="155">
        <f>SUM(E132:E133)</f>
        <v>0</v>
      </c>
      <c r="F131" s="155">
        <f t="shared" ref="F131:I131" si="58">SUM(F132:F133)</f>
        <v>0</v>
      </c>
      <c r="G131" s="155">
        <f t="shared" si="58"/>
        <v>130272.28</v>
      </c>
      <c r="H131" s="155">
        <f t="shared" si="58"/>
        <v>132326.43</v>
      </c>
      <c r="I131" s="155">
        <f t="shared" si="58"/>
        <v>134401.21000000002</v>
      </c>
    </row>
    <row r="132" spans="1:9" s="131" customFormat="1" ht="15.75" customHeight="1" x14ac:dyDescent="0.25">
      <c r="A132" s="217"/>
      <c r="B132" s="218" t="s">
        <v>495</v>
      </c>
      <c r="C132" s="217"/>
      <c r="D132" s="224" t="s">
        <v>293</v>
      </c>
      <c r="E132" s="163">
        <f>'Rekapitulacija Posebni dio'!C245</f>
        <v>0</v>
      </c>
      <c r="F132" s="163">
        <f>'Rekapitulacija Posebni dio'!D245</f>
        <v>0</v>
      </c>
      <c r="G132" s="163">
        <f>'Rekapitulacija Posebni dio'!E245</f>
        <v>126272.28</v>
      </c>
      <c r="H132" s="163">
        <f>'Rekapitulacija Posebni dio'!F245</f>
        <v>128326.43</v>
      </c>
      <c r="I132" s="163">
        <f>'Rekapitulacija Posebni dio'!G245</f>
        <v>130401.21</v>
      </c>
    </row>
    <row r="133" spans="1:9" s="131" customFormat="1" ht="15.75" customHeight="1" x14ac:dyDescent="0.25">
      <c r="A133" s="217"/>
      <c r="B133" s="218" t="s">
        <v>631</v>
      </c>
      <c r="C133" s="217"/>
      <c r="D133" s="224" t="s">
        <v>632</v>
      </c>
      <c r="E133" s="163">
        <f>'Rekapitulacija Posebni dio'!C246</f>
        <v>0</v>
      </c>
      <c r="F133" s="163">
        <f>'Rekapitulacija Posebni dio'!D246</f>
        <v>0</v>
      </c>
      <c r="G133" s="163">
        <f>'Rekapitulacija Posebni dio'!E246</f>
        <v>4000</v>
      </c>
      <c r="H133" s="163">
        <f>'Rekapitulacija Posebni dio'!F246</f>
        <v>4000</v>
      </c>
      <c r="I133" s="163">
        <f>'Rekapitulacija Posebni dio'!G246</f>
        <v>4000</v>
      </c>
    </row>
    <row r="134" spans="1:9" s="131" customFormat="1" ht="15.75" customHeight="1" x14ac:dyDescent="0.25">
      <c r="A134" s="217"/>
      <c r="B134" s="152" t="s">
        <v>108</v>
      </c>
      <c r="C134" s="192"/>
      <c r="D134" s="226" t="s">
        <v>109</v>
      </c>
      <c r="E134" s="155">
        <f>SUM(E135:E136)</f>
        <v>0</v>
      </c>
      <c r="F134" s="155">
        <f t="shared" ref="F134:I134" si="59">SUM(F135:F136)</f>
        <v>0</v>
      </c>
      <c r="G134" s="155">
        <f t="shared" si="59"/>
        <v>1663.6100000000001</v>
      </c>
      <c r="H134" s="155">
        <f t="shared" si="59"/>
        <v>1863.6100000000001</v>
      </c>
      <c r="I134" s="155">
        <f t="shared" si="59"/>
        <v>2063.61</v>
      </c>
    </row>
    <row r="135" spans="1:9" s="118" customFormat="1" ht="15.75" customHeight="1" x14ac:dyDescent="0.25">
      <c r="A135" s="217"/>
      <c r="B135" s="218" t="s">
        <v>534</v>
      </c>
      <c r="C135" s="217"/>
      <c r="D135" s="224" t="s">
        <v>411</v>
      </c>
      <c r="E135" s="163">
        <f>'Rekapitulacija Posebni dio'!C248</f>
        <v>0</v>
      </c>
      <c r="F135" s="163">
        <f>'Rekapitulacija Posebni dio'!D248</f>
        <v>0</v>
      </c>
      <c r="G135" s="163">
        <f>'Rekapitulacija Posebni dio'!E248</f>
        <v>1000</v>
      </c>
      <c r="H135" s="163">
        <f>'Rekapitulacija Posebni dio'!F248</f>
        <v>1200</v>
      </c>
      <c r="I135" s="163">
        <f>'Rekapitulacija Posebni dio'!G248</f>
        <v>1400</v>
      </c>
    </row>
    <row r="136" spans="1:9" s="131" customFormat="1" ht="15.75" customHeight="1" x14ac:dyDescent="0.25">
      <c r="A136" s="217"/>
      <c r="B136" s="218" t="s">
        <v>515</v>
      </c>
      <c r="C136" s="217"/>
      <c r="D136" s="224" t="s">
        <v>412</v>
      </c>
      <c r="E136" s="163">
        <f>'Rekapitulacija Posebni dio'!C249</f>
        <v>0</v>
      </c>
      <c r="F136" s="163">
        <f>'Rekapitulacija Posebni dio'!D249</f>
        <v>0</v>
      </c>
      <c r="G136" s="163">
        <f>'Rekapitulacija Posebni dio'!E249</f>
        <v>663.61</v>
      </c>
      <c r="H136" s="163">
        <f>'Rekapitulacija Posebni dio'!F249</f>
        <v>663.61</v>
      </c>
      <c r="I136" s="163">
        <f>'Rekapitulacija Posebni dio'!G249</f>
        <v>663.61</v>
      </c>
    </row>
    <row r="137" spans="1:9" s="131" customFormat="1" ht="15.75" hidden="1" customHeight="1" x14ac:dyDescent="0.25">
      <c r="A137" s="217"/>
      <c r="B137" s="152" t="s">
        <v>110</v>
      </c>
      <c r="C137" s="192"/>
      <c r="D137" s="226" t="s">
        <v>111</v>
      </c>
      <c r="E137" s="155"/>
      <c r="F137" s="155"/>
      <c r="G137" s="155"/>
      <c r="H137" s="155"/>
      <c r="I137" s="155"/>
    </row>
    <row r="138" spans="1:9" s="131" customFormat="1" ht="15.75" customHeight="1" x14ac:dyDescent="0.25">
      <c r="A138" s="192"/>
      <c r="B138" s="152" t="s">
        <v>112</v>
      </c>
      <c r="C138" s="192"/>
      <c r="D138" s="226" t="s">
        <v>113</v>
      </c>
      <c r="E138" s="155">
        <f>E139+E141+E144+E147+E149+E152</f>
        <v>0</v>
      </c>
      <c r="F138" s="155">
        <f>F139+F141+F144+F147+F149+F152</f>
        <v>0</v>
      </c>
      <c r="G138" s="155">
        <f>G139+G141+G144+G147+G149+G152</f>
        <v>33838.39</v>
      </c>
      <c r="H138" s="155">
        <f>H139+H141+H144+H147+H149+H152</f>
        <v>34500</v>
      </c>
      <c r="I138" s="155">
        <f>I139+I141+I144+I147+I149+I152</f>
        <v>35200</v>
      </c>
    </row>
    <row r="139" spans="1:9" s="131" customFormat="1" ht="15.75" customHeight="1" x14ac:dyDescent="0.25">
      <c r="A139" s="192"/>
      <c r="B139" s="152" t="s">
        <v>114</v>
      </c>
      <c r="C139" s="192"/>
      <c r="D139" s="192" t="s">
        <v>115</v>
      </c>
      <c r="E139" s="155">
        <f t="shared" ref="E139:I139" si="60">SUM(E140)</f>
        <v>0</v>
      </c>
      <c r="F139" s="155">
        <f t="shared" si="60"/>
        <v>0</v>
      </c>
      <c r="G139" s="155">
        <f t="shared" si="60"/>
        <v>8033.0300000000007</v>
      </c>
      <c r="H139" s="155">
        <f t="shared" si="60"/>
        <v>8500</v>
      </c>
      <c r="I139" s="155">
        <f t="shared" si="60"/>
        <v>8950</v>
      </c>
    </row>
    <row r="140" spans="1:9" s="131" customFormat="1" ht="15.75" customHeight="1" x14ac:dyDescent="0.25">
      <c r="A140" s="192"/>
      <c r="B140" s="218" t="s">
        <v>516</v>
      </c>
      <c r="C140" s="192"/>
      <c r="D140" s="217" t="s">
        <v>414</v>
      </c>
      <c r="E140" s="163">
        <f>'Rekapitulacija Posebni dio'!C253</f>
        <v>0</v>
      </c>
      <c r="F140" s="163">
        <f>'Rekapitulacija Posebni dio'!D253</f>
        <v>0</v>
      </c>
      <c r="G140" s="163">
        <f>'Rekapitulacija Posebni dio'!E253</f>
        <v>8033.0300000000007</v>
      </c>
      <c r="H140" s="163">
        <f>'Rekapitulacija Posebni dio'!F253</f>
        <v>8500</v>
      </c>
      <c r="I140" s="163">
        <f>'Rekapitulacija Posebni dio'!G253</f>
        <v>8950</v>
      </c>
    </row>
    <row r="141" spans="1:9" s="131" customFormat="1" ht="15.75" hidden="1" customHeight="1" x14ac:dyDescent="0.25">
      <c r="A141" s="192"/>
      <c r="B141" s="152" t="s">
        <v>116</v>
      </c>
      <c r="C141" s="192"/>
      <c r="D141" s="192" t="s">
        <v>117</v>
      </c>
      <c r="E141" s="155">
        <f t="shared" ref="E141" si="61">SUM(E142:E143)</f>
        <v>0</v>
      </c>
      <c r="F141" s="155">
        <f t="shared" ref="F141:I141" si="62">SUM(F142:F143)</f>
        <v>0</v>
      </c>
      <c r="G141" s="155">
        <f t="shared" si="62"/>
        <v>0</v>
      </c>
      <c r="H141" s="155">
        <f t="shared" si="62"/>
        <v>0</v>
      </c>
      <c r="I141" s="155">
        <f t="shared" si="62"/>
        <v>0</v>
      </c>
    </row>
    <row r="142" spans="1:9" s="131" customFormat="1" ht="15.75" hidden="1" customHeight="1" x14ac:dyDescent="0.25">
      <c r="A142" s="192"/>
      <c r="B142" s="218" t="s">
        <v>497</v>
      </c>
      <c r="C142" s="192"/>
      <c r="D142" s="217" t="s">
        <v>419</v>
      </c>
      <c r="E142" s="163">
        <f>'Rekapitulacija Posebni dio'!C255</f>
        <v>0</v>
      </c>
      <c r="F142" s="163">
        <f>'Rekapitulacija Posebni dio'!D255</f>
        <v>0</v>
      </c>
      <c r="G142" s="163">
        <f>'Rekapitulacija Posebni dio'!E255</f>
        <v>0</v>
      </c>
      <c r="H142" s="163">
        <f>'Rekapitulacija Posebni dio'!F255</f>
        <v>0</v>
      </c>
      <c r="I142" s="163">
        <f>'Rekapitulacija Posebni dio'!G255</f>
        <v>0</v>
      </c>
    </row>
    <row r="143" spans="1:9" s="118" customFormat="1" ht="15.75" hidden="1" customHeight="1" x14ac:dyDescent="0.25">
      <c r="A143" s="192"/>
      <c r="B143" s="218" t="s">
        <v>498</v>
      </c>
      <c r="C143" s="192"/>
      <c r="D143" s="217" t="s">
        <v>420</v>
      </c>
      <c r="E143" s="163">
        <f>'Rekapitulacija Posebni dio'!C256</f>
        <v>0</v>
      </c>
      <c r="F143" s="163">
        <f>'Rekapitulacija Posebni dio'!D256</f>
        <v>0</v>
      </c>
      <c r="G143" s="163">
        <f>'Rekapitulacija Posebni dio'!E256</f>
        <v>0</v>
      </c>
      <c r="H143" s="163">
        <f>'Rekapitulacija Posebni dio'!F256</f>
        <v>0</v>
      </c>
      <c r="I143" s="163">
        <f>'Rekapitulacija Posebni dio'!G256</f>
        <v>0</v>
      </c>
    </row>
    <row r="144" spans="1:9" s="118" customFormat="1" ht="15.75" customHeight="1" x14ac:dyDescent="0.25">
      <c r="A144" s="192"/>
      <c r="B144" s="152" t="s">
        <v>118</v>
      </c>
      <c r="C144" s="192"/>
      <c r="D144" s="192" t="s">
        <v>119</v>
      </c>
      <c r="E144" s="155">
        <f t="shared" ref="E144" si="63">SUM(E145:E146)</f>
        <v>0</v>
      </c>
      <c r="F144" s="155">
        <f t="shared" ref="F144:I144" si="64">SUM(F145:F146)</f>
        <v>0</v>
      </c>
      <c r="G144" s="155">
        <f t="shared" si="64"/>
        <v>18805.36</v>
      </c>
      <c r="H144" s="155">
        <f t="shared" si="64"/>
        <v>19000</v>
      </c>
      <c r="I144" s="155">
        <f t="shared" si="64"/>
        <v>19250</v>
      </c>
    </row>
    <row r="145" spans="1:9" s="118" customFormat="1" ht="15.75" customHeight="1" x14ac:dyDescent="0.25">
      <c r="A145" s="192"/>
      <c r="B145" s="218" t="s">
        <v>502</v>
      </c>
      <c r="C145" s="192"/>
      <c r="D145" s="217" t="s">
        <v>425</v>
      </c>
      <c r="E145" s="163">
        <f>'Rekapitulacija Posebni dio'!C258</f>
        <v>0</v>
      </c>
      <c r="F145" s="163">
        <f>'Rekapitulacija Posebni dio'!D258</f>
        <v>0</v>
      </c>
      <c r="G145" s="163">
        <f>'Rekapitulacija Posebni dio'!E258</f>
        <v>13500</v>
      </c>
      <c r="H145" s="163">
        <f>'Rekapitulacija Posebni dio'!F258</f>
        <v>13500</v>
      </c>
      <c r="I145" s="163">
        <f>'Rekapitulacija Posebni dio'!G258</f>
        <v>13500</v>
      </c>
    </row>
    <row r="146" spans="1:9" s="118" customFormat="1" x14ac:dyDescent="0.25">
      <c r="A146" s="192"/>
      <c r="B146" s="218" t="s">
        <v>503</v>
      </c>
      <c r="C146" s="192"/>
      <c r="D146" s="217" t="s">
        <v>422</v>
      </c>
      <c r="E146" s="163">
        <f>'Rekapitulacija Posebni dio'!C259</f>
        <v>0</v>
      </c>
      <c r="F146" s="163">
        <f>'Rekapitulacija Posebni dio'!D259</f>
        <v>0</v>
      </c>
      <c r="G146" s="163">
        <f>'Rekapitulacija Posebni dio'!E259</f>
        <v>5305.36</v>
      </c>
      <c r="H146" s="163">
        <f>'Rekapitulacija Posebni dio'!F259</f>
        <v>5500</v>
      </c>
      <c r="I146" s="163">
        <f>'Rekapitulacija Posebni dio'!G259</f>
        <v>5750</v>
      </c>
    </row>
    <row r="147" spans="1:9" s="118" customFormat="1" hidden="1" x14ac:dyDescent="0.25">
      <c r="A147" s="192"/>
      <c r="B147" s="152" t="s">
        <v>120</v>
      </c>
      <c r="C147" s="192"/>
      <c r="D147" s="226" t="s">
        <v>550</v>
      </c>
      <c r="E147" s="155">
        <f t="shared" ref="E147:I147" si="65">SUM(E148)</f>
        <v>0</v>
      </c>
      <c r="F147" s="155">
        <f t="shared" si="65"/>
        <v>0</v>
      </c>
      <c r="G147" s="155">
        <f t="shared" si="65"/>
        <v>0</v>
      </c>
      <c r="H147" s="155">
        <f t="shared" si="65"/>
        <v>0</v>
      </c>
      <c r="I147" s="155">
        <f t="shared" si="65"/>
        <v>0</v>
      </c>
    </row>
    <row r="148" spans="1:9" s="131" customFormat="1" ht="14.25" hidden="1" customHeight="1" x14ac:dyDescent="0.25">
      <c r="A148" s="192"/>
      <c r="B148" s="218" t="s">
        <v>540</v>
      </c>
      <c r="C148" s="192"/>
      <c r="D148" s="224" t="s">
        <v>551</v>
      </c>
      <c r="E148" s="163"/>
      <c r="F148" s="163"/>
      <c r="G148" s="163"/>
      <c r="H148" s="163"/>
      <c r="I148" s="163"/>
    </row>
    <row r="149" spans="1:9" s="131" customFormat="1" x14ac:dyDescent="0.25">
      <c r="A149" s="192"/>
      <c r="B149" s="152" t="s">
        <v>122</v>
      </c>
      <c r="C149" s="192"/>
      <c r="D149" s="226" t="s">
        <v>123</v>
      </c>
      <c r="E149" s="155">
        <f>SUM(E150:E151)</f>
        <v>0</v>
      </c>
      <c r="F149" s="155">
        <f t="shared" ref="F149:I149" si="66">SUM(F150:F151)</f>
        <v>0</v>
      </c>
      <c r="G149" s="155">
        <f t="shared" si="66"/>
        <v>7000</v>
      </c>
      <c r="H149" s="155">
        <f t="shared" si="66"/>
        <v>7000</v>
      </c>
      <c r="I149" s="155">
        <f t="shared" si="66"/>
        <v>7000</v>
      </c>
    </row>
    <row r="150" spans="1:9" s="131" customFormat="1" x14ac:dyDescent="0.25">
      <c r="A150" s="192"/>
      <c r="B150" s="218" t="s">
        <v>504</v>
      </c>
      <c r="C150" s="192"/>
      <c r="D150" s="224" t="s">
        <v>601</v>
      </c>
      <c r="E150" s="163">
        <f>'Rekapitulacija Posebni dio'!C262</f>
        <v>0</v>
      </c>
      <c r="F150" s="163">
        <f>'Rekapitulacija Posebni dio'!D262</f>
        <v>0</v>
      </c>
      <c r="G150" s="163">
        <f>'Rekapitulacija Posebni dio'!E262</f>
        <v>5000</v>
      </c>
      <c r="H150" s="163">
        <f>'Rekapitulacija Posebni dio'!F262</f>
        <v>5000</v>
      </c>
      <c r="I150" s="163">
        <f>'Rekapitulacija Posebni dio'!G262</f>
        <v>5000</v>
      </c>
    </row>
    <row r="151" spans="1:9" s="131" customFormat="1" x14ac:dyDescent="0.25">
      <c r="A151" s="192"/>
      <c r="B151" s="218" t="s">
        <v>600</v>
      </c>
      <c r="C151" s="192"/>
      <c r="D151" s="224" t="s">
        <v>633</v>
      </c>
      <c r="E151" s="163">
        <f>'Rekapitulacija Posebni dio'!C263</f>
        <v>0</v>
      </c>
      <c r="F151" s="163">
        <f>'Rekapitulacija Posebni dio'!D263</f>
        <v>0</v>
      </c>
      <c r="G151" s="163">
        <f>'Rekapitulacija Posebni dio'!E263</f>
        <v>2000</v>
      </c>
      <c r="H151" s="163">
        <f>'Rekapitulacija Posebni dio'!F263</f>
        <v>2000</v>
      </c>
      <c r="I151" s="163">
        <f>'Rekapitulacija Posebni dio'!G263</f>
        <v>2000</v>
      </c>
    </row>
    <row r="152" spans="1:9" s="131" customFormat="1" hidden="1" x14ac:dyDescent="0.25">
      <c r="A152" s="192"/>
      <c r="B152" s="152" t="s">
        <v>124</v>
      </c>
      <c r="C152" s="192"/>
      <c r="D152" s="226" t="s">
        <v>125</v>
      </c>
      <c r="E152" s="155">
        <f t="shared" ref="E152:I152" si="67">SUM(E153)</f>
        <v>0</v>
      </c>
      <c r="F152" s="155">
        <f t="shared" si="67"/>
        <v>0</v>
      </c>
      <c r="G152" s="155">
        <f t="shared" si="67"/>
        <v>0</v>
      </c>
      <c r="H152" s="155">
        <f t="shared" si="67"/>
        <v>0</v>
      </c>
      <c r="I152" s="155">
        <f t="shared" si="67"/>
        <v>0</v>
      </c>
    </row>
    <row r="153" spans="1:9" s="131" customFormat="1" hidden="1" x14ac:dyDescent="0.25">
      <c r="A153" s="192"/>
      <c r="B153" s="218" t="s">
        <v>505</v>
      </c>
      <c r="C153" s="192"/>
      <c r="D153" s="224" t="s">
        <v>125</v>
      </c>
      <c r="E153" s="163"/>
      <c r="F153" s="163"/>
      <c r="G153" s="163"/>
      <c r="H153" s="163"/>
      <c r="I153" s="163"/>
    </row>
    <row r="154" spans="1:9" s="131" customFormat="1" x14ac:dyDescent="0.25">
      <c r="A154" s="192"/>
      <c r="B154" s="152" t="s">
        <v>126</v>
      </c>
      <c r="C154" s="192"/>
      <c r="D154" s="226" t="s">
        <v>127</v>
      </c>
      <c r="E154" s="155">
        <f t="shared" ref="E154" si="68">E155+E159+E163+E165+E166+E167+E169+E173+E176</f>
        <v>0</v>
      </c>
      <c r="F154" s="155">
        <f>F155+F159+F163+F165+F166+F167+F169+F173+F176</f>
        <v>0</v>
      </c>
      <c r="G154" s="155">
        <f>G155+G159+G163+G165+G166+G167+G169+G173+G176</f>
        <v>148619.07</v>
      </c>
      <c r="H154" s="155">
        <f>H155+H159+H163+H165+H166+H167+H169+H173+H176</f>
        <v>149919.07</v>
      </c>
      <c r="I154" s="155">
        <f>I155+I159+I163+I165+I166+I167+I169+I173+I176</f>
        <v>151219.07</v>
      </c>
    </row>
    <row r="155" spans="1:9" s="131" customFormat="1" x14ac:dyDescent="0.25">
      <c r="A155" s="192"/>
      <c r="B155" s="152" t="s">
        <v>128</v>
      </c>
      <c r="C155" s="192"/>
      <c r="D155" s="226" t="s">
        <v>129</v>
      </c>
      <c r="E155" s="155">
        <f>SUM(E156:E158)</f>
        <v>0</v>
      </c>
      <c r="F155" s="155">
        <f t="shared" ref="F155:I155" si="69">SUM(F156:F158)</f>
        <v>0</v>
      </c>
      <c r="G155" s="155">
        <f t="shared" si="69"/>
        <v>36700</v>
      </c>
      <c r="H155" s="155">
        <f t="shared" si="69"/>
        <v>38000</v>
      </c>
      <c r="I155" s="155">
        <f t="shared" si="69"/>
        <v>39300</v>
      </c>
    </row>
    <row r="156" spans="1:9" s="118" customFormat="1" x14ac:dyDescent="0.25">
      <c r="A156" s="217"/>
      <c r="B156" s="218" t="s">
        <v>506</v>
      </c>
      <c r="C156" s="217"/>
      <c r="D156" s="224" t="s">
        <v>430</v>
      </c>
      <c r="E156" s="163">
        <f>'Rekapitulacija Posebni dio'!C267</f>
        <v>0</v>
      </c>
      <c r="F156" s="163">
        <f>'Rekapitulacija Posebni dio'!D267</f>
        <v>0</v>
      </c>
      <c r="G156" s="163">
        <f>'Rekapitulacija Posebni dio'!E267</f>
        <v>30000</v>
      </c>
      <c r="H156" s="163">
        <f>'Rekapitulacija Posebni dio'!F267</f>
        <v>31000</v>
      </c>
      <c r="I156" s="163">
        <f>'Rekapitulacija Posebni dio'!G267</f>
        <v>32000</v>
      </c>
    </row>
    <row r="157" spans="1:9" s="118" customFormat="1" x14ac:dyDescent="0.25">
      <c r="A157" s="217"/>
      <c r="B157" s="218" t="s">
        <v>507</v>
      </c>
      <c r="C157" s="217"/>
      <c r="D157" s="224" t="s">
        <v>431</v>
      </c>
      <c r="E157" s="163">
        <f>'Rekapitulacija Posebni dio'!C268</f>
        <v>0</v>
      </c>
      <c r="F157" s="163">
        <f>'Rekapitulacija Posebni dio'!D268</f>
        <v>0</v>
      </c>
      <c r="G157" s="163">
        <f>'Rekapitulacija Posebni dio'!E268</f>
        <v>3500</v>
      </c>
      <c r="H157" s="163">
        <f>'Rekapitulacija Posebni dio'!F268</f>
        <v>3500</v>
      </c>
      <c r="I157" s="163">
        <f>'Rekapitulacija Posebni dio'!G268</f>
        <v>3500</v>
      </c>
    </row>
    <row r="158" spans="1:9" s="118" customFormat="1" x14ac:dyDescent="0.25">
      <c r="A158" s="217"/>
      <c r="B158" s="218" t="s">
        <v>565</v>
      </c>
      <c r="C158" s="217"/>
      <c r="D158" s="224" t="s">
        <v>566</v>
      </c>
      <c r="E158" s="163">
        <f>'Rekapitulacija Posebni dio'!C269</f>
        <v>0</v>
      </c>
      <c r="F158" s="163">
        <f>'Rekapitulacija Posebni dio'!D269</f>
        <v>0</v>
      </c>
      <c r="G158" s="163">
        <f>'Rekapitulacija Posebni dio'!E269</f>
        <v>3200</v>
      </c>
      <c r="H158" s="163">
        <f>'Rekapitulacija Posebni dio'!F269</f>
        <v>3500</v>
      </c>
      <c r="I158" s="163">
        <f>'Rekapitulacija Posebni dio'!G269</f>
        <v>3800</v>
      </c>
    </row>
    <row r="159" spans="1:9" s="131" customFormat="1" x14ac:dyDescent="0.25">
      <c r="A159" s="192"/>
      <c r="B159" s="152" t="s">
        <v>130</v>
      </c>
      <c r="C159" s="192"/>
      <c r="D159" s="226" t="s">
        <v>131</v>
      </c>
      <c r="E159" s="155">
        <f t="shared" ref="E159" si="70">SUM(E160:E162)</f>
        <v>0</v>
      </c>
      <c r="F159" s="155">
        <f t="shared" ref="F159:I159" si="71">SUM(F160:F162)</f>
        <v>0</v>
      </c>
      <c r="G159" s="155">
        <f t="shared" si="71"/>
        <v>17917.580000000002</v>
      </c>
      <c r="H159" s="155">
        <f t="shared" si="71"/>
        <v>17917.580000000002</v>
      </c>
      <c r="I159" s="155">
        <f t="shared" si="71"/>
        <v>17917.580000000002</v>
      </c>
    </row>
    <row r="160" spans="1:9" s="131" customFormat="1" x14ac:dyDescent="0.25">
      <c r="A160" s="192"/>
      <c r="B160" s="218" t="s">
        <v>528</v>
      </c>
      <c r="C160" s="192"/>
      <c r="D160" s="331" t="s">
        <v>433</v>
      </c>
      <c r="E160" s="163">
        <f>'Rekapitulacija Posebni dio'!C271</f>
        <v>0</v>
      </c>
      <c r="F160" s="163">
        <f>'Rekapitulacija Posebni dio'!D271</f>
        <v>0</v>
      </c>
      <c r="G160" s="163">
        <f>'Rekapitulacija Posebni dio'!E271</f>
        <v>11000</v>
      </c>
      <c r="H160" s="163">
        <f>'Rekapitulacija Posebni dio'!F271</f>
        <v>11250</v>
      </c>
      <c r="I160" s="163">
        <f>'Rekapitulacija Posebni dio'!G271</f>
        <v>11450</v>
      </c>
    </row>
    <row r="161" spans="1:9" s="131" customFormat="1" x14ac:dyDescent="0.25">
      <c r="A161" s="192"/>
      <c r="B161" s="218" t="s">
        <v>529</v>
      </c>
      <c r="C161" s="192"/>
      <c r="D161" s="331" t="s">
        <v>434</v>
      </c>
      <c r="E161" s="163">
        <f>'Rekapitulacija Posebni dio'!C272</f>
        <v>0</v>
      </c>
      <c r="F161" s="163">
        <f>'Rekapitulacija Posebni dio'!D272</f>
        <v>0</v>
      </c>
      <c r="G161" s="163">
        <f>'Rekapitulacija Posebni dio'!E272</f>
        <v>3750</v>
      </c>
      <c r="H161" s="163">
        <f>'Rekapitulacija Posebni dio'!F272</f>
        <v>3750</v>
      </c>
      <c r="I161" s="163">
        <f>'Rekapitulacija Posebni dio'!G272</f>
        <v>3750</v>
      </c>
    </row>
    <row r="162" spans="1:9" s="131" customFormat="1" x14ac:dyDescent="0.25">
      <c r="A162" s="192"/>
      <c r="B162" s="218" t="s">
        <v>530</v>
      </c>
      <c r="C162" s="192"/>
      <c r="D162" s="331" t="s">
        <v>432</v>
      </c>
      <c r="E162" s="163">
        <f>'Rekapitulacija Posebni dio'!C273</f>
        <v>0</v>
      </c>
      <c r="F162" s="163">
        <f>'Rekapitulacija Posebni dio'!D273</f>
        <v>0</v>
      </c>
      <c r="G162" s="163">
        <f>'Rekapitulacija Posebni dio'!E273</f>
        <v>3167.58</v>
      </c>
      <c r="H162" s="163">
        <f>'Rekapitulacija Posebni dio'!F273</f>
        <v>2917.5800000000017</v>
      </c>
      <c r="I162" s="163">
        <f>'Rekapitulacija Posebni dio'!G273</f>
        <v>2717.5800000000017</v>
      </c>
    </row>
    <row r="163" spans="1:9" s="131" customFormat="1" x14ac:dyDescent="0.25">
      <c r="A163" s="192"/>
      <c r="B163" s="152" t="s">
        <v>132</v>
      </c>
      <c r="C163" s="192"/>
      <c r="D163" s="226" t="s">
        <v>133</v>
      </c>
      <c r="E163" s="155">
        <f>E164</f>
        <v>0</v>
      </c>
      <c r="F163" s="155">
        <f t="shared" ref="F163:I163" si="72">F164</f>
        <v>0</v>
      </c>
      <c r="G163" s="155">
        <f t="shared" si="72"/>
        <v>1200</v>
      </c>
      <c r="H163" s="155">
        <f t="shared" si="72"/>
        <v>1200</v>
      </c>
      <c r="I163" s="155">
        <f t="shared" si="72"/>
        <v>1200</v>
      </c>
    </row>
    <row r="164" spans="1:9" s="118" customFormat="1" x14ac:dyDescent="0.25">
      <c r="A164" s="217"/>
      <c r="B164" s="218" t="s">
        <v>634</v>
      </c>
      <c r="C164" s="217"/>
      <c r="D164" s="224" t="s">
        <v>635</v>
      </c>
      <c r="E164" s="163">
        <f>'Rekapitulacija Posebni dio'!C275</f>
        <v>0</v>
      </c>
      <c r="F164" s="163">
        <f>'Rekapitulacija Posebni dio'!D275</f>
        <v>0</v>
      </c>
      <c r="G164" s="163">
        <f>'Rekapitulacija Posebni dio'!E275</f>
        <v>1200</v>
      </c>
      <c r="H164" s="163">
        <f>'Rekapitulacija Posebni dio'!F275</f>
        <v>1200</v>
      </c>
      <c r="I164" s="163">
        <f>'Rekapitulacija Posebni dio'!G275</f>
        <v>1200</v>
      </c>
    </row>
    <row r="165" spans="1:9" s="131" customFormat="1" hidden="1" x14ac:dyDescent="0.25">
      <c r="A165" s="192"/>
      <c r="B165" s="174" t="s">
        <v>134</v>
      </c>
      <c r="C165" s="151"/>
      <c r="D165" s="228" t="s">
        <v>135</v>
      </c>
      <c r="E165" s="155"/>
      <c r="F165" s="155"/>
      <c r="G165" s="155"/>
      <c r="H165" s="155"/>
      <c r="I165" s="155"/>
    </row>
    <row r="166" spans="1:9" s="131" customFormat="1" hidden="1" x14ac:dyDescent="0.25">
      <c r="A166" s="192"/>
      <c r="B166" s="174">
        <v>3235</v>
      </c>
      <c r="C166" s="151"/>
      <c r="D166" s="228" t="s">
        <v>136</v>
      </c>
      <c r="E166" s="155"/>
      <c r="F166" s="155"/>
      <c r="G166" s="155"/>
      <c r="H166" s="155"/>
      <c r="I166" s="155"/>
    </row>
    <row r="167" spans="1:9" s="131" customFormat="1" x14ac:dyDescent="0.25">
      <c r="A167" s="192"/>
      <c r="B167" s="174">
        <v>3236</v>
      </c>
      <c r="C167" s="151"/>
      <c r="D167" s="228" t="s">
        <v>137</v>
      </c>
      <c r="E167" s="155">
        <f t="shared" ref="E167:I167" si="73">SUM(E168)</f>
        <v>0</v>
      </c>
      <c r="F167" s="155">
        <f t="shared" si="73"/>
        <v>0</v>
      </c>
      <c r="G167" s="155">
        <f t="shared" si="73"/>
        <v>2654.46</v>
      </c>
      <c r="H167" s="155">
        <f t="shared" si="73"/>
        <v>2654.46</v>
      </c>
      <c r="I167" s="155">
        <f t="shared" si="73"/>
        <v>2654.46</v>
      </c>
    </row>
    <row r="168" spans="1:9" s="131" customFormat="1" x14ac:dyDescent="0.25">
      <c r="A168" s="192"/>
      <c r="B168" s="177">
        <v>32369</v>
      </c>
      <c r="C168" s="132"/>
      <c r="D168" s="227" t="s">
        <v>441</v>
      </c>
      <c r="E168" s="163">
        <f>'Rekapitulacija Posebni dio'!C279</f>
        <v>0</v>
      </c>
      <c r="F168" s="163">
        <f>'Rekapitulacija Posebni dio'!D279</f>
        <v>0</v>
      </c>
      <c r="G168" s="163">
        <f>'Rekapitulacija Posebni dio'!E279</f>
        <v>2654.46</v>
      </c>
      <c r="H168" s="163">
        <f>'Rekapitulacija Posebni dio'!F279</f>
        <v>2654.46</v>
      </c>
      <c r="I168" s="163">
        <f>'Rekapitulacija Posebni dio'!G279</f>
        <v>2654.46</v>
      </c>
    </row>
    <row r="169" spans="1:9" s="131" customFormat="1" x14ac:dyDescent="0.25">
      <c r="A169" s="192"/>
      <c r="B169" s="174">
        <v>3237</v>
      </c>
      <c r="C169" s="151"/>
      <c r="D169" s="228" t="s">
        <v>138</v>
      </c>
      <c r="E169" s="155">
        <f>SUM(E170:E172)</f>
        <v>0</v>
      </c>
      <c r="F169" s="155">
        <f t="shared" ref="F169:I169" si="74">SUM(F170:F172)</f>
        <v>0</v>
      </c>
      <c r="G169" s="155">
        <f t="shared" si="74"/>
        <v>49039.14</v>
      </c>
      <c r="H169" s="155">
        <f t="shared" si="74"/>
        <v>49039.14</v>
      </c>
      <c r="I169" s="155">
        <f t="shared" si="74"/>
        <v>49039.14</v>
      </c>
    </row>
    <row r="170" spans="1:9" s="131" customFormat="1" x14ac:dyDescent="0.25">
      <c r="A170" s="192"/>
      <c r="B170" s="177">
        <v>32372</v>
      </c>
      <c r="C170" s="132"/>
      <c r="D170" s="227" t="s">
        <v>442</v>
      </c>
      <c r="E170" s="163">
        <f>'Rekapitulacija Posebni dio'!C281</f>
        <v>0</v>
      </c>
      <c r="F170" s="163">
        <f>'Rekapitulacija Posebni dio'!D281</f>
        <v>0</v>
      </c>
      <c r="G170" s="163">
        <f>'Rekapitulacija Posebni dio'!E281</f>
        <v>37039.14</v>
      </c>
      <c r="H170" s="163">
        <f>'Rekapitulacija Posebni dio'!F281</f>
        <v>37039.14</v>
      </c>
      <c r="I170" s="163">
        <f>'Rekapitulacija Posebni dio'!G281</f>
        <v>37039.14</v>
      </c>
    </row>
    <row r="171" spans="1:9" s="131" customFormat="1" x14ac:dyDescent="0.25">
      <c r="A171" s="192"/>
      <c r="B171" s="177">
        <v>32373</v>
      </c>
      <c r="C171" s="132"/>
      <c r="D171" s="227" t="s">
        <v>547</v>
      </c>
      <c r="E171" s="163">
        <f>'Rekapitulacija Posebni dio'!C282</f>
        <v>0</v>
      </c>
      <c r="F171" s="163">
        <f>'Rekapitulacija Posebni dio'!D282</f>
        <v>0</v>
      </c>
      <c r="G171" s="163">
        <f>'Rekapitulacija Posebni dio'!E282</f>
        <v>5000</v>
      </c>
      <c r="H171" s="163">
        <f>'Rekapitulacija Posebni dio'!F282</f>
        <v>5000</v>
      </c>
      <c r="I171" s="163">
        <f>'Rekapitulacija Posebni dio'!G282</f>
        <v>5000</v>
      </c>
    </row>
    <row r="172" spans="1:9" s="131" customFormat="1" x14ac:dyDescent="0.25">
      <c r="A172" s="192"/>
      <c r="B172" s="177">
        <v>32379</v>
      </c>
      <c r="C172" s="132"/>
      <c r="D172" s="227" t="s">
        <v>509</v>
      </c>
      <c r="E172" s="163">
        <f>'Rekapitulacija Posebni dio'!C283</f>
        <v>0</v>
      </c>
      <c r="F172" s="163">
        <f>'Rekapitulacija Posebni dio'!D283</f>
        <v>0</v>
      </c>
      <c r="G172" s="163">
        <f>'Rekapitulacija Posebni dio'!E283</f>
        <v>7000</v>
      </c>
      <c r="H172" s="163">
        <f>'Rekapitulacija Posebni dio'!F283</f>
        <v>7000</v>
      </c>
      <c r="I172" s="163">
        <f>'Rekapitulacija Posebni dio'!G283</f>
        <v>7000</v>
      </c>
    </row>
    <row r="173" spans="1:9" s="131" customFormat="1" x14ac:dyDescent="0.25">
      <c r="A173" s="192"/>
      <c r="B173" s="174" t="s">
        <v>139</v>
      </c>
      <c r="C173" s="151"/>
      <c r="D173" s="228" t="s">
        <v>140</v>
      </c>
      <c r="E173" s="155">
        <f>SUM(E174:E175)</f>
        <v>0</v>
      </c>
      <c r="F173" s="155">
        <f t="shared" ref="F173:I173" si="75">SUM(F174:F175)</f>
        <v>0</v>
      </c>
      <c r="G173" s="155">
        <f t="shared" si="75"/>
        <v>13345</v>
      </c>
      <c r="H173" s="155">
        <f t="shared" si="75"/>
        <v>13345</v>
      </c>
      <c r="I173" s="155">
        <f t="shared" si="75"/>
        <v>13345</v>
      </c>
    </row>
    <row r="174" spans="1:9" s="118" customFormat="1" x14ac:dyDescent="0.25">
      <c r="A174" s="217"/>
      <c r="B174" s="177">
        <v>32381</v>
      </c>
      <c r="C174" s="132"/>
      <c r="D174" s="227" t="s">
        <v>140</v>
      </c>
      <c r="E174" s="163">
        <f>'Rekapitulacija Posebni dio'!C285</f>
        <v>0</v>
      </c>
      <c r="F174" s="163">
        <f>'Rekapitulacija Posebni dio'!D285</f>
        <v>0</v>
      </c>
      <c r="G174" s="163">
        <f>'Rekapitulacija Posebni dio'!E285</f>
        <v>10345</v>
      </c>
      <c r="H174" s="163">
        <f>'Rekapitulacija Posebni dio'!F285</f>
        <v>10345</v>
      </c>
      <c r="I174" s="163">
        <f>'Rekapitulacija Posebni dio'!G285</f>
        <v>10345</v>
      </c>
    </row>
    <row r="175" spans="1:9" s="118" customFormat="1" x14ac:dyDescent="0.25">
      <c r="A175" s="217"/>
      <c r="B175" s="177">
        <v>32389</v>
      </c>
      <c r="C175" s="132"/>
      <c r="D175" s="227" t="s">
        <v>444</v>
      </c>
      <c r="E175" s="163">
        <f>'Rekapitulacija Posebni dio'!C286</f>
        <v>0</v>
      </c>
      <c r="F175" s="163">
        <f>'Rekapitulacija Posebni dio'!D286</f>
        <v>0</v>
      </c>
      <c r="G175" s="163">
        <f>'Rekapitulacija Posebni dio'!E286</f>
        <v>3000</v>
      </c>
      <c r="H175" s="163">
        <f>'Rekapitulacija Posebni dio'!F286</f>
        <v>3000</v>
      </c>
      <c r="I175" s="163">
        <f>'Rekapitulacija Posebni dio'!G286</f>
        <v>3000</v>
      </c>
    </row>
    <row r="176" spans="1:9" s="131" customFormat="1" x14ac:dyDescent="0.25">
      <c r="A176" s="192"/>
      <c r="B176" s="174" t="s">
        <v>141</v>
      </c>
      <c r="C176" s="151"/>
      <c r="D176" s="228" t="s">
        <v>142</v>
      </c>
      <c r="E176" s="155">
        <f>SUM(E177:E179)</f>
        <v>0</v>
      </c>
      <c r="F176" s="155">
        <f t="shared" ref="F176:I176" si="76">SUM(F177:F179)</f>
        <v>0</v>
      </c>
      <c r="G176" s="155">
        <f t="shared" si="76"/>
        <v>27762.89</v>
      </c>
      <c r="H176" s="155">
        <f t="shared" si="76"/>
        <v>27762.89</v>
      </c>
      <c r="I176" s="155">
        <f t="shared" si="76"/>
        <v>27762.89</v>
      </c>
    </row>
    <row r="177" spans="1:9" s="118" customFormat="1" x14ac:dyDescent="0.25">
      <c r="A177" s="217"/>
      <c r="B177" s="177">
        <v>32391</v>
      </c>
      <c r="C177" s="132"/>
      <c r="D177" s="227" t="s">
        <v>618</v>
      </c>
      <c r="E177" s="163">
        <f>'Rekapitulacija Posebni dio'!C288</f>
        <v>0</v>
      </c>
      <c r="F177" s="163">
        <f>'Rekapitulacija Posebni dio'!D288</f>
        <v>0</v>
      </c>
      <c r="G177" s="163">
        <f>'Rekapitulacija Posebni dio'!E288</f>
        <v>1500</v>
      </c>
      <c r="H177" s="163">
        <f>'Rekapitulacija Posebni dio'!F288</f>
        <v>1500</v>
      </c>
      <c r="I177" s="163">
        <f>'Rekapitulacija Posebni dio'!G288</f>
        <v>1500</v>
      </c>
    </row>
    <row r="178" spans="1:9" s="118" customFormat="1" x14ac:dyDescent="0.25">
      <c r="A178" s="217"/>
      <c r="B178" s="177">
        <v>32394</v>
      </c>
      <c r="C178" s="132"/>
      <c r="D178" s="227" t="s">
        <v>445</v>
      </c>
      <c r="E178" s="163">
        <f>'Rekapitulacija Posebni dio'!C289</f>
        <v>0</v>
      </c>
      <c r="F178" s="163">
        <f>'Rekapitulacija Posebni dio'!D289</f>
        <v>0</v>
      </c>
      <c r="G178" s="163">
        <f>'Rekapitulacija Posebni dio'!E289</f>
        <v>3000</v>
      </c>
      <c r="H178" s="163">
        <f>'Rekapitulacija Posebni dio'!F289</f>
        <v>3000</v>
      </c>
      <c r="I178" s="163">
        <f>'Rekapitulacija Posebni dio'!G289</f>
        <v>3000</v>
      </c>
    </row>
    <row r="179" spans="1:9" s="131" customFormat="1" ht="13.9" customHeight="1" x14ac:dyDescent="0.25">
      <c r="A179" s="217"/>
      <c r="B179" s="177">
        <v>32399</v>
      </c>
      <c r="C179" s="132"/>
      <c r="D179" s="227" t="s">
        <v>315</v>
      </c>
      <c r="E179" s="163">
        <f>'Rekapitulacija Posebni dio'!C290</f>
        <v>0</v>
      </c>
      <c r="F179" s="163">
        <f>'Rekapitulacija Posebni dio'!D290</f>
        <v>0</v>
      </c>
      <c r="G179" s="163">
        <f>'Rekapitulacija Posebni dio'!E290</f>
        <v>23262.89</v>
      </c>
      <c r="H179" s="163">
        <f>'Rekapitulacija Posebni dio'!F290</f>
        <v>23262.89</v>
      </c>
      <c r="I179" s="163">
        <f>'Rekapitulacija Posebni dio'!G290</f>
        <v>23262.89</v>
      </c>
    </row>
    <row r="180" spans="1:9" s="131" customFormat="1" ht="13.9" customHeight="1" x14ac:dyDescent="0.25">
      <c r="A180" s="217"/>
      <c r="B180" s="156" t="s">
        <v>583</v>
      </c>
      <c r="C180" s="151"/>
      <c r="D180" s="158" t="s">
        <v>638</v>
      </c>
      <c r="E180" s="155">
        <f>E181+E184+E186</f>
        <v>0</v>
      </c>
      <c r="F180" s="155">
        <f t="shared" ref="F180:I180" si="77">F181+F184+F186</f>
        <v>0</v>
      </c>
      <c r="G180" s="155">
        <f t="shared" si="77"/>
        <v>2112554.21</v>
      </c>
      <c r="H180" s="155">
        <f t="shared" si="77"/>
        <v>2128200</v>
      </c>
      <c r="I180" s="155">
        <f t="shared" si="77"/>
        <v>2129500</v>
      </c>
    </row>
    <row r="181" spans="1:9" s="131" customFormat="1" ht="13.9" customHeight="1" x14ac:dyDescent="0.25">
      <c r="A181" s="217"/>
      <c r="B181" s="156" t="s">
        <v>584</v>
      </c>
      <c r="C181" s="151"/>
      <c r="D181" s="158" t="s">
        <v>638</v>
      </c>
      <c r="E181" s="155">
        <f>E182+E183</f>
        <v>0</v>
      </c>
      <c r="F181" s="155">
        <f t="shared" ref="F181:I181" si="78">F182+F183</f>
        <v>0</v>
      </c>
      <c r="G181" s="155">
        <f t="shared" si="78"/>
        <v>29954.21</v>
      </c>
      <c r="H181" s="155">
        <f t="shared" si="78"/>
        <v>31200</v>
      </c>
      <c r="I181" s="155">
        <f t="shared" si="78"/>
        <v>32500</v>
      </c>
    </row>
    <row r="182" spans="1:9" s="131" customFormat="1" ht="13.9" customHeight="1" x14ac:dyDescent="0.25">
      <c r="A182" s="217"/>
      <c r="B182" s="160" t="s">
        <v>585</v>
      </c>
      <c r="C182" s="151"/>
      <c r="D182" s="161" t="s">
        <v>587</v>
      </c>
      <c r="E182" s="163">
        <f>'Rekapitulacija Posebni dio'!C293</f>
        <v>0</v>
      </c>
      <c r="F182" s="163">
        <f>'Rekapitulacija Posebni dio'!D293</f>
        <v>0</v>
      </c>
      <c r="G182" s="163">
        <f>'Rekapitulacija Posebni dio'!E293</f>
        <v>7954.21</v>
      </c>
      <c r="H182" s="163">
        <f>'Rekapitulacija Posebni dio'!F293</f>
        <v>8200</v>
      </c>
      <c r="I182" s="163">
        <f>'Rekapitulacija Posebni dio'!G293</f>
        <v>8500</v>
      </c>
    </row>
    <row r="183" spans="1:9" s="131" customFormat="1" ht="13.9" customHeight="1" x14ac:dyDescent="0.25">
      <c r="A183" s="217"/>
      <c r="B183" s="160" t="s">
        <v>586</v>
      </c>
      <c r="C183" s="151"/>
      <c r="D183" s="161" t="s">
        <v>588</v>
      </c>
      <c r="E183" s="163">
        <f>'Rekapitulacija Posebni dio'!C294</f>
        <v>0</v>
      </c>
      <c r="F183" s="163">
        <f>'Rekapitulacija Posebni dio'!D294</f>
        <v>0</v>
      </c>
      <c r="G183" s="163">
        <f>'Rekapitulacija Posebni dio'!E294</f>
        <v>22000</v>
      </c>
      <c r="H183" s="163">
        <f>'Rekapitulacija Posebni dio'!F294</f>
        <v>23000</v>
      </c>
      <c r="I183" s="163">
        <f>'Rekapitulacija Posebni dio'!G294</f>
        <v>24000</v>
      </c>
    </row>
    <row r="184" spans="1:9" s="131" customFormat="1" ht="13.9" customHeight="1" x14ac:dyDescent="0.25">
      <c r="A184" s="217"/>
      <c r="B184" s="422" t="s">
        <v>619</v>
      </c>
      <c r="C184" s="151"/>
      <c r="D184" s="426" t="s">
        <v>621</v>
      </c>
      <c r="E184" s="155">
        <f>E185</f>
        <v>0</v>
      </c>
      <c r="F184" s="155">
        <f t="shared" ref="F184:I184" si="79">F185</f>
        <v>0</v>
      </c>
      <c r="G184" s="155">
        <f t="shared" si="79"/>
        <v>4000</v>
      </c>
      <c r="H184" s="155">
        <f t="shared" si="79"/>
        <v>4000</v>
      </c>
      <c r="I184" s="155">
        <f t="shared" si="79"/>
        <v>4000</v>
      </c>
    </row>
    <row r="185" spans="1:9" s="131" customFormat="1" ht="13.9" customHeight="1" x14ac:dyDescent="0.25">
      <c r="A185" s="217"/>
      <c r="B185" s="423" t="s">
        <v>620</v>
      </c>
      <c r="C185" s="151"/>
      <c r="D185" s="427" t="s">
        <v>626</v>
      </c>
      <c r="E185" s="163">
        <f>'Rekapitulacija Posebni dio'!C296</f>
        <v>0</v>
      </c>
      <c r="F185" s="163">
        <f>'Rekapitulacija Posebni dio'!D296</f>
        <v>0</v>
      </c>
      <c r="G185" s="163">
        <f>'Rekapitulacija Posebni dio'!E296</f>
        <v>4000</v>
      </c>
      <c r="H185" s="163">
        <f>'Rekapitulacija Posebni dio'!F296</f>
        <v>4000</v>
      </c>
      <c r="I185" s="163">
        <f>'Rekapitulacija Posebni dio'!G296</f>
        <v>4000</v>
      </c>
    </row>
    <row r="186" spans="1:9" s="131" customFormat="1" ht="13.9" customHeight="1" x14ac:dyDescent="0.25">
      <c r="A186" s="217"/>
      <c r="B186" s="422" t="s">
        <v>622</v>
      </c>
      <c r="C186" s="151"/>
      <c r="D186" s="426" t="s">
        <v>624</v>
      </c>
      <c r="E186" s="155">
        <f>E187</f>
        <v>0</v>
      </c>
      <c r="F186" s="155">
        <f t="shared" ref="F186:I186" si="80">F187</f>
        <v>0</v>
      </c>
      <c r="G186" s="155">
        <f t="shared" si="80"/>
        <v>2078600</v>
      </c>
      <c r="H186" s="155">
        <f t="shared" si="80"/>
        <v>2093000</v>
      </c>
      <c r="I186" s="155">
        <f t="shared" si="80"/>
        <v>2093000</v>
      </c>
    </row>
    <row r="187" spans="1:9" s="131" customFormat="1" ht="13.9" customHeight="1" x14ac:dyDescent="0.25">
      <c r="A187" s="217"/>
      <c r="B187" s="423" t="s">
        <v>623</v>
      </c>
      <c r="C187" s="151"/>
      <c r="D187" s="427" t="s">
        <v>625</v>
      </c>
      <c r="E187" s="163">
        <f>'Rekapitulacija Posebni dio'!C298</f>
        <v>0</v>
      </c>
      <c r="F187" s="163">
        <f>'Rekapitulacija Posebni dio'!D298</f>
        <v>0</v>
      </c>
      <c r="G187" s="163">
        <f>'Rekapitulacija Posebni dio'!E298</f>
        <v>2078600</v>
      </c>
      <c r="H187" s="163">
        <f>'Rekapitulacija Posebni dio'!F298</f>
        <v>2093000</v>
      </c>
      <c r="I187" s="163">
        <f>'Rekapitulacija Posebni dio'!G298</f>
        <v>2093000</v>
      </c>
    </row>
    <row r="188" spans="1:9" s="118" customFormat="1" x14ac:dyDescent="0.25">
      <c r="A188" s="217"/>
      <c r="B188" s="174">
        <v>329</v>
      </c>
      <c r="C188" s="151"/>
      <c r="D188" s="228" t="s">
        <v>144</v>
      </c>
      <c r="E188" s="155">
        <f>E189+E190+E192+E194+E196+E198+E199</f>
        <v>0</v>
      </c>
      <c r="F188" s="155">
        <f t="shared" ref="F188:I188" si="81">F189+F190+F192+F194+F196+F198+F199</f>
        <v>0</v>
      </c>
      <c r="G188" s="155">
        <f t="shared" si="81"/>
        <v>22654.46</v>
      </c>
      <c r="H188" s="155">
        <f t="shared" si="81"/>
        <v>22654.46</v>
      </c>
      <c r="I188" s="155">
        <f t="shared" si="81"/>
        <v>22654.46</v>
      </c>
    </row>
    <row r="189" spans="1:9" s="118" customFormat="1" ht="14.25" hidden="1" customHeight="1" x14ac:dyDescent="0.25">
      <c r="A189" s="217"/>
      <c r="B189" s="174" t="s">
        <v>145</v>
      </c>
      <c r="C189" s="151"/>
      <c r="D189" s="158" t="s">
        <v>146</v>
      </c>
      <c r="E189" s="155"/>
      <c r="F189" s="155"/>
      <c r="G189" s="155"/>
      <c r="H189" s="155"/>
      <c r="I189" s="155"/>
    </row>
    <row r="190" spans="1:9" s="118" customFormat="1" x14ac:dyDescent="0.25">
      <c r="A190" s="217"/>
      <c r="B190" s="174">
        <v>3292</v>
      </c>
      <c r="C190" s="151"/>
      <c r="D190" s="228" t="s">
        <v>147</v>
      </c>
      <c r="E190" s="155">
        <f t="shared" ref="E190:I190" si="82">SUM(E191)</f>
        <v>0</v>
      </c>
      <c r="F190" s="155">
        <f t="shared" si="82"/>
        <v>0</v>
      </c>
      <c r="G190" s="155">
        <f t="shared" si="82"/>
        <v>2654.46</v>
      </c>
      <c r="H190" s="155">
        <f t="shared" si="82"/>
        <v>2654.46</v>
      </c>
      <c r="I190" s="155">
        <f t="shared" si="82"/>
        <v>2654.46</v>
      </c>
    </row>
    <row r="191" spans="1:9" s="118" customFormat="1" x14ac:dyDescent="0.25">
      <c r="A191" s="217"/>
      <c r="B191" s="177" t="s">
        <v>520</v>
      </c>
      <c r="C191" s="132"/>
      <c r="D191" s="331" t="s">
        <v>521</v>
      </c>
      <c r="E191" s="163">
        <f>'Rekapitulacija Posebni dio'!C301</f>
        <v>0</v>
      </c>
      <c r="F191" s="163">
        <f>'Rekapitulacija Posebni dio'!D301</f>
        <v>0</v>
      </c>
      <c r="G191" s="163">
        <f>'Rekapitulacija Posebni dio'!E301</f>
        <v>2654.46</v>
      </c>
      <c r="H191" s="163">
        <f>'Rekapitulacija Posebni dio'!F301</f>
        <v>2654.46</v>
      </c>
      <c r="I191" s="163">
        <f>'Rekapitulacija Posebni dio'!G301</f>
        <v>2654.46</v>
      </c>
    </row>
    <row r="192" spans="1:9" s="118" customFormat="1" x14ac:dyDescent="0.25">
      <c r="A192" s="217"/>
      <c r="B192" s="174">
        <v>3293</v>
      </c>
      <c r="C192" s="151"/>
      <c r="D192" s="228" t="s">
        <v>148</v>
      </c>
      <c r="E192" s="155">
        <f t="shared" ref="E192:I192" si="83">SUM(E193)</f>
        <v>0</v>
      </c>
      <c r="F192" s="155">
        <f t="shared" si="83"/>
        <v>0</v>
      </c>
      <c r="G192" s="155">
        <f t="shared" si="83"/>
        <v>5000</v>
      </c>
      <c r="H192" s="155">
        <f t="shared" si="83"/>
        <v>5000</v>
      </c>
      <c r="I192" s="155">
        <f t="shared" si="83"/>
        <v>5000</v>
      </c>
    </row>
    <row r="193" spans="1:9" s="118" customFormat="1" x14ac:dyDescent="0.25">
      <c r="A193" s="217"/>
      <c r="B193" s="177">
        <v>32931</v>
      </c>
      <c r="C193" s="132"/>
      <c r="D193" s="227" t="s">
        <v>148</v>
      </c>
      <c r="E193" s="163">
        <f>'Rekapitulacija Posebni dio'!C304</f>
        <v>0</v>
      </c>
      <c r="F193" s="163">
        <f>'Rekapitulacija Posebni dio'!D304</f>
        <v>0</v>
      </c>
      <c r="G193" s="163">
        <f>'Rekapitulacija Posebni dio'!E304</f>
        <v>5000</v>
      </c>
      <c r="H193" s="163">
        <f>'Rekapitulacija Posebni dio'!F304</f>
        <v>5000</v>
      </c>
      <c r="I193" s="163">
        <f>'Rekapitulacija Posebni dio'!G304</f>
        <v>5000</v>
      </c>
    </row>
    <row r="194" spans="1:9" s="118" customFormat="1" x14ac:dyDescent="0.25">
      <c r="A194" s="217"/>
      <c r="B194" s="174">
        <v>3294</v>
      </c>
      <c r="C194" s="151"/>
      <c r="D194" s="228" t="s">
        <v>149</v>
      </c>
      <c r="E194" s="155">
        <f>E195</f>
        <v>0</v>
      </c>
      <c r="F194" s="155">
        <f t="shared" ref="F194:I194" si="84">F195</f>
        <v>0</v>
      </c>
      <c r="G194" s="155">
        <f t="shared" si="84"/>
        <v>3000</v>
      </c>
      <c r="H194" s="155">
        <f t="shared" si="84"/>
        <v>3000</v>
      </c>
      <c r="I194" s="155">
        <f t="shared" si="84"/>
        <v>3000</v>
      </c>
    </row>
    <row r="195" spans="1:9" s="118" customFormat="1" x14ac:dyDescent="0.25">
      <c r="A195" s="217"/>
      <c r="B195" s="177">
        <v>32941</v>
      </c>
      <c r="C195" s="132"/>
      <c r="D195" s="227" t="s">
        <v>451</v>
      </c>
      <c r="E195" s="163">
        <f>'Rekapitulacija Posebni dio'!C306</f>
        <v>0</v>
      </c>
      <c r="F195" s="163">
        <f>'Rekapitulacija Posebni dio'!D306</f>
        <v>0</v>
      </c>
      <c r="G195" s="163">
        <f>'Rekapitulacija Posebni dio'!E306</f>
        <v>3000</v>
      </c>
      <c r="H195" s="163">
        <f>'Rekapitulacija Posebni dio'!F306</f>
        <v>3000</v>
      </c>
      <c r="I195" s="163">
        <f>'Rekapitulacija Posebni dio'!G306</f>
        <v>3000</v>
      </c>
    </row>
    <row r="196" spans="1:9" s="118" customFormat="1" x14ac:dyDescent="0.25">
      <c r="A196" s="217"/>
      <c r="B196" s="169">
        <v>3295</v>
      </c>
      <c r="C196" s="151"/>
      <c r="D196" s="232" t="s">
        <v>150</v>
      </c>
      <c r="E196" s="155">
        <f>E197</f>
        <v>0</v>
      </c>
      <c r="F196" s="155">
        <f t="shared" ref="F196:I196" si="85">F197</f>
        <v>0</v>
      </c>
      <c r="G196" s="155">
        <f t="shared" si="85"/>
        <v>12000</v>
      </c>
      <c r="H196" s="155">
        <f t="shared" si="85"/>
        <v>12000</v>
      </c>
      <c r="I196" s="155">
        <f t="shared" si="85"/>
        <v>12000</v>
      </c>
    </row>
    <row r="197" spans="1:9" s="118" customFormat="1" x14ac:dyDescent="0.25">
      <c r="A197" s="217"/>
      <c r="B197" s="184">
        <v>32955</v>
      </c>
      <c r="C197" s="132"/>
      <c r="D197" s="229" t="s">
        <v>641</v>
      </c>
      <c r="E197" s="163">
        <f>'Rekapitulacija Posebni dio'!C308</f>
        <v>0</v>
      </c>
      <c r="F197" s="163">
        <f>'Rekapitulacija Posebni dio'!D308</f>
        <v>0</v>
      </c>
      <c r="G197" s="163">
        <f>'Rekapitulacija Posebni dio'!E308</f>
        <v>12000</v>
      </c>
      <c r="H197" s="163">
        <f>'Rekapitulacija Posebni dio'!F308</f>
        <v>12000</v>
      </c>
      <c r="I197" s="163">
        <f>'Rekapitulacija Posebni dio'!G308</f>
        <v>12000</v>
      </c>
    </row>
    <row r="198" spans="1:9" s="118" customFormat="1" hidden="1" x14ac:dyDescent="0.25">
      <c r="A198" s="217"/>
      <c r="B198" s="169">
        <v>3296</v>
      </c>
      <c r="C198" s="151"/>
      <c r="D198" s="232" t="s">
        <v>151</v>
      </c>
      <c r="E198" s="155"/>
      <c r="F198" s="155"/>
      <c r="G198" s="155"/>
      <c r="H198" s="155"/>
      <c r="I198" s="155"/>
    </row>
    <row r="199" spans="1:9" s="131" customFormat="1" hidden="1" x14ac:dyDescent="0.25">
      <c r="A199" s="217"/>
      <c r="B199" s="169" t="s">
        <v>152</v>
      </c>
      <c r="C199" s="151"/>
      <c r="D199" s="232" t="s">
        <v>144</v>
      </c>
      <c r="E199" s="155"/>
      <c r="F199" s="155"/>
      <c r="G199" s="155"/>
      <c r="H199" s="155"/>
      <c r="I199" s="155"/>
    </row>
    <row r="200" spans="1:9" s="131" customFormat="1" x14ac:dyDescent="0.25">
      <c r="A200" s="217"/>
      <c r="B200" s="133">
        <v>34</v>
      </c>
      <c r="C200" s="203"/>
      <c r="D200" s="216" t="s">
        <v>153</v>
      </c>
      <c r="E200" s="168">
        <f t="shared" ref="E200:I200" si="86">SUM(E201)</f>
        <v>0</v>
      </c>
      <c r="F200" s="168">
        <f t="shared" si="86"/>
        <v>0</v>
      </c>
      <c r="G200" s="168">
        <f t="shared" si="86"/>
        <v>6900</v>
      </c>
      <c r="H200" s="168">
        <f t="shared" si="86"/>
        <v>7038</v>
      </c>
      <c r="I200" s="168">
        <f t="shared" si="86"/>
        <v>7178.76</v>
      </c>
    </row>
    <row r="201" spans="1:9" s="219" customFormat="1" x14ac:dyDescent="0.25">
      <c r="A201" s="217"/>
      <c r="B201" s="174">
        <v>343</v>
      </c>
      <c r="C201" s="151"/>
      <c r="D201" s="228" t="s">
        <v>154</v>
      </c>
      <c r="E201" s="155">
        <f>E202+E204+E205+E206</f>
        <v>0</v>
      </c>
      <c r="F201" s="155">
        <f t="shared" ref="F201:I201" si="87">F202+F204+F205+F206</f>
        <v>0</v>
      </c>
      <c r="G201" s="155">
        <f t="shared" si="87"/>
        <v>6900</v>
      </c>
      <c r="H201" s="155">
        <f t="shared" si="87"/>
        <v>7038</v>
      </c>
      <c r="I201" s="155">
        <f t="shared" si="87"/>
        <v>7178.76</v>
      </c>
    </row>
    <row r="202" spans="1:9" s="219" customFormat="1" x14ac:dyDescent="0.25">
      <c r="A202" s="217"/>
      <c r="B202" s="174" t="s">
        <v>155</v>
      </c>
      <c r="C202" s="151"/>
      <c r="D202" s="228" t="s">
        <v>156</v>
      </c>
      <c r="E202" s="155">
        <f>E203</f>
        <v>0</v>
      </c>
      <c r="F202" s="155">
        <f t="shared" ref="F202:I202" si="88">F203</f>
        <v>0</v>
      </c>
      <c r="G202" s="155">
        <f t="shared" si="88"/>
        <v>6200</v>
      </c>
      <c r="H202" s="155">
        <f t="shared" si="88"/>
        <v>6300</v>
      </c>
      <c r="I202" s="155">
        <f t="shared" si="88"/>
        <v>6400</v>
      </c>
    </row>
    <row r="203" spans="1:9" s="118" customFormat="1" x14ac:dyDescent="0.25">
      <c r="A203" s="217"/>
      <c r="B203" s="177">
        <v>34312</v>
      </c>
      <c r="C203" s="132"/>
      <c r="D203" s="227" t="s">
        <v>457</v>
      </c>
      <c r="E203" s="163">
        <f>'Rekapitulacija Posebni dio'!C314</f>
        <v>0</v>
      </c>
      <c r="F203" s="163">
        <f>'Rekapitulacija Posebni dio'!D314</f>
        <v>0</v>
      </c>
      <c r="G203" s="163">
        <f>'Rekapitulacija Posebni dio'!E314</f>
        <v>6200</v>
      </c>
      <c r="H203" s="163">
        <f>'Rekapitulacija Posebni dio'!F314</f>
        <v>6300</v>
      </c>
      <c r="I203" s="163">
        <f>'Rekapitulacija Posebni dio'!G314</f>
        <v>6400</v>
      </c>
    </row>
    <row r="204" spans="1:9" s="118" customFormat="1" hidden="1" x14ac:dyDescent="0.25">
      <c r="A204" s="192"/>
      <c r="B204" s="174">
        <v>3432</v>
      </c>
      <c r="C204" s="151"/>
      <c r="D204" s="228" t="s">
        <v>205</v>
      </c>
      <c r="E204" s="155"/>
      <c r="F204" s="155"/>
      <c r="G204" s="155"/>
      <c r="H204" s="155"/>
      <c r="I204" s="155"/>
    </row>
    <row r="205" spans="1:9" s="118" customFormat="1" hidden="1" x14ac:dyDescent="0.25">
      <c r="A205" s="192"/>
      <c r="B205" s="169">
        <v>3433</v>
      </c>
      <c r="C205" s="151"/>
      <c r="D205" s="232" t="s">
        <v>157</v>
      </c>
      <c r="E205" s="155"/>
      <c r="F205" s="155"/>
      <c r="G205" s="155"/>
      <c r="H205" s="155"/>
      <c r="I205" s="155"/>
    </row>
    <row r="206" spans="1:9" s="118" customFormat="1" x14ac:dyDescent="0.25">
      <c r="A206" s="192"/>
      <c r="B206" s="169">
        <v>3434</v>
      </c>
      <c r="C206" s="151"/>
      <c r="D206" s="232" t="s">
        <v>158</v>
      </c>
      <c r="E206" s="155">
        <f>E207</f>
        <v>0</v>
      </c>
      <c r="F206" s="155">
        <f t="shared" ref="F206:I206" si="89">F207</f>
        <v>0</v>
      </c>
      <c r="G206" s="155">
        <f t="shared" si="89"/>
        <v>700</v>
      </c>
      <c r="H206" s="155">
        <f t="shared" si="89"/>
        <v>738</v>
      </c>
      <c r="I206" s="155">
        <f t="shared" si="89"/>
        <v>778.76</v>
      </c>
    </row>
    <row r="207" spans="1:9" s="118" customFormat="1" x14ac:dyDescent="0.25">
      <c r="A207" s="217"/>
      <c r="B207" s="184">
        <v>34349</v>
      </c>
      <c r="C207" s="132"/>
      <c r="D207" s="229" t="s">
        <v>154</v>
      </c>
      <c r="E207" s="163">
        <f>'Rekapitulacija Posebni dio'!C318</f>
        <v>0</v>
      </c>
      <c r="F207" s="163">
        <f>'Rekapitulacija Posebni dio'!D318</f>
        <v>0</v>
      </c>
      <c r="G207" s="163">
        <f>'Rekapitulacija Posebni dio'!E318</f>
        <v>700</v>
      </c>
      <c r="H207" s="163">
        <f>'Rekapitulacija Posebni dio'!F318</f>
        <v>738</v>
      </c>
      <c r="I207" s="163">
        <f>'Rekapitulacija Posebni dio'!G318</f>
        <v>778.76</v>
      </c>
    </row>
    <row r="208" spans="1:9" s="131" customFormat="1" hidden="1" x14ac:dyDescent="0.25">
      <c r="A208" s="217"/>
      <c r="B208" s="133">
        <v>37</v>
      </c>
      <c r="C208" s="203"/>
      <c r="D208" s="216" t="s">
        <v>162</v>
      </c>
      <c r="E208" s="168">
        <f t="shared" ref="E208:I209" si="90">SUM(E209)</f>
        <v>0</v>
      </c>
      <c r="F208" s="168">
        <f t="shared" si="90"/>
        <v>0</v>
      </c>
      <c r="G208" s="168">
        <f t="shared" si="90"/>
        <v>0</v>
      </c>
      <c r="H208" s="168">
        <f t="shared" si="90"/>
        <v>0</v>
      </c>
      <c r="I208" s="168">
        <f t="shared" si="90"/>
        <v>0</v>
      </c>
    </row>
    <row r="209" spans="1:9" s="131" customFormat="1" hidden="1" x14ac:dyDescent="0.25">
      <c r="A209" s="217"/>
      <c r="B209" s="152">
        <v>372</v>
      </c>
      <c r="C209" s="192"/>
      <c r="D209" s="236" t="s">
        <v>163</v>
      </c>
      <c r="E209" s="155">
        <f t="shared" si="90"/>
        <v>0</v>
      </c>
      <c r="F209" s="155">
        <f t="shared" si="90"/>
        <v>0</v>
      </c>
      <c r="G209" s="155">
        <f t="shared" si="90"/>
        <v>0</v>
      </c>
      <c r="H209" s="155">
        <f t="shared" si="90"/>
        <v>0</v>
      </c>
      <c r="I209" s="155">
        <f t="shared" si="90"/>
        <v>0</v>
      </c>
    </row>
    <row r="210" spans="1:9" s="219" customFormat="1" hidden="1" x14ac:dyDescent="0.25">
      <c r="A210" s="503"/>
      <c r="B210" s="152">
        <v>3721</v>
      </c>
      <c r="C210" s="192"/>
      <c r="D210" s="236" t="s">
        <v>164</v>
      </c>
      <c r="E210" s="155"/>
      <c r="F210" s="155"/>
      <c r="G210" s="155"/>
      <c r="H210" s="155"/>
      <c r="I210" s="155"/>
    </row>
    <row r="211" spans="1:9" s="219" customFormat="1" x14ac:dyDescent="0.25">
      <c r="A211" s="217"/>
      <c r="B211" s="133" t="s">
        <v>165</v>
      </c>
      <c r="C211" s="203"/>
      <c r="D211" s="216" t="s">
        <v>98</v>
      </c>
      <c r="E211" s="168">
        <f t="shared" ref="E211" si="91">E214+E212</f>
        <v>0</v>
      </c>
      <c r="F211" s="168">
        <f t="shared" ref="F211:I211" si="92">F214+F212</f>
        <v>0</v>
      </c>
      <c r="G211" s="168">
        <f t="shared" si="92"/>
        <v>1000</v>
      </c>
      <c r="H211" s="168">
        <f t="shared" si="92"/>
        <v>1020</v>
      </c>
      <c r="I211" s="168">
        <f t="shared" si="92"/>
        <v>1040.4000000000001</v>
      </c>
    </row>
    <row r="212" spans="1:9" hidden="1" x14ac:dyDescent="0.25">
      <c r="A212" s="217"/>
      <c r="B212" s="152" t="s">
        <v>166</v>
      </c>
      <c r="C212" s="192"/>
      <c r="D212" s="236" t="s">
        <v>69</v>
      </c>
      <c r="E212" s="155">
        <f t="shared" ref="E212:I212" si="93">SUM(E213)</f>
        <v>0</v>
      </c>
      <c r="F212" s="155">
        <f t="shared" si="93"/>
        <v>0</v>
      </c>
      <c r="G212" s="155">
        <f t="shared" si="93"/>
        <v>0</v>
      </c>
      <c r="H212" s="155">
        <f t="shared" si="93"/>
        <v>0</v>
      </c>
      <c r="I212" s="155">
        <f t="shared" si="93"/>
        <v>0</v>
      </c>
    </row>
    <row r="213" spans="1:9" s="130" customFormat="1" hidden="1" x14ac:dyDescent="0.25">
      <c r="A213" s="192"/>
      <c r="B213" s="152" t="s">
        <v>168</v>
      </c>
      <c r="C213" s="192"/>
      <c r="D213" s="236" t="s">
        <v>167</v>
      </c>
      <c r="E213" s="155"/>
      <c r="F213" s="155"/>
      <c r="G213" s="155"/>
      <c r="H213" s="155"/>
      <c r="I213" s="155"/>
    </row>
    <row r="214" spans="1:9" s="130" customFormat="1" x14ac:dyDescent="0.25">
      <c r="A214" s="192"/>
      <c r="B214" s="169">
        <v>383</v>
      </c>
      <c r="C214" s="151"/>
      <c r="D214" s="232" t="s">
        <v>169</v>
      </c>
      <c r="E214" s="155">
        <f t="shared" ref="E214" si="94">SUM(E215:E217)</f>
        <v>0</v>
      </c>
      <c r="F214" s="155">
        <f t="shared" ref="F214" si="95">SUM(F215:F217)</f>
        <v>0</v>
      </c>
      <c r="G214" s="155">
        <f>G215+G217</f>
        <v>1000</v>
      </c>
      <c r="H214" s="155">
        <f t="shared" ref="H214:I214" si="96">H215+H217</f>
        <v>1020</v>
      </c>
      <c r="I214" s="155">
        <f t="shared" si="96"/>
        <v>1040.4000000000001</v>
      </c>
    </row>
    <row r="215" spans="1:9" s="130" customFormat="1" x14ac:dyDescent="0.25">
      <c r="A215" s="192"/>
      <c r="B215" s="169">
        <v>3834</v>
      </c>
      <c r="C215" s="151"/>
      <c r="D215" s="418" t="s">
        <v>172</v>
      </c>
      <c r="E215" s="155">
        <f>E216</f>
        <v>0</v>
      </c>
      <c r="F215" s="155">
        <f t="shared" ref="F215:I215" si="97">F216</f>
        <v>0</v>
      </c>
      <c r="G215" s="155">
        <f t="shared" si="97"/>
        <v>1000</v>
      </c>
      <c r="H215" s="155">
        <f t="shared" si="97"/>
        <v>1020</v>
      </c>
      <c r="I215" s="155">
        <f t="shared" si="97"/>
        <v>1040.4000000000001</v>
      </c>
    </row>
    <row r="216" spans="1:9" x14ac:dyDescent="0.25">
      <c r="A216" s="217"/>
      <c r="B216" s="184">
        <v>38431</v>
      </c>
      <c r="C216" s="132"/>
      <c r="D216" s="331" t="s">
        <v>172</v>
      </c>
      <c r="E216" s="163">
        <f>'Rekapitulacija Posebni dio'!C327</f>
        <v>0</v>
      </c>
      <c r="F216" s="163">
        <f>'Rekapitulacija Posebni dio'!D327</f>
        <v>0</v>
      </c>
      <c r="G216" s="163">
        <f>'Rekapitulacija Posebni dio'!E327</f>
        <v>1000</v>
      </c>
      <c r="H216" s="163">
        <f>'Rekapitulacija Posebni dio'!F327</f>
        <v>1020</v>
      </c>
      <c r="I216" s="163">
        <f>'Rekapitulacija Posebni dio'!G327</f>
        <v>1040.4000000000001</v>
      </c>
    </row>
    <row r="217" spans="1:9" s="130" customFormat="1" hidden="1" x14ac:dyDescent="0.25">
      <c r="A217" s="192"/>
      <c r="B217" s="169">
        <v>3835</v>
      </c>
      <c r="C217" s="151"/>
      <c r="D217" s="232" t="s">
        <v>173</v>
      </c>
      <c r="E217" s="155"/>
      <c r="F217" s="155"/>
      <c r="G217" s="155"/>
      <c r="H217" s="155"/>
      <c r="I217" s="155"/>
    </row>
    <row r="218" spans="1:9" hidden="1" x14ac:dyDescent="0.25">
      <c r="A218" s="238">
        <v>4</v>
      </c>
      <c r="B218" s="239"/>
      <c r="C218" s="240"/>
      <c r="D218" s="241" t="s">
        <v>174</v>
      </c>
      <c r="E218" s="202">
        <f t="shared" ref="E218" si="98">E219+E222</f>
        <v>0</v>
      </c>
      <c r="F218" s="202">
        <f t="shared" ref="F218:I218" si="99">F219+F222</f>
        <v>0</v>
      </c>
      <c r="G218" s="202">
        <f t="shared" si="99"/>
        <v>0</v>
      </c>
      <c r="H218" s="202">
        <f t="shared" si="99"/>
        <v>0</v>
      </c>
      <c r="I218" s="202">
        <f t="shared" si="99"/>
        <v>0</v>
      </c>
    </row>
    <row r="219" spans="1:9" hidden="1" x14ac:dyDescent="0.25">
      <c r="A219" s="157"/>
      <c r="B219" s="133" t="s">
        <v>175</v>
      </c>
      <c r="C219" s="203"/>
      <c r="D219" s="242" t="s">
        <v>176</v>
      </c>
      <c r="E219" s="168">
        <f t="shared" ref="E219:I220" si="100">SUM(E220)</f>
        <v>0</v>
      </c>
      <c r="F219" s="168">
        <f t="shared" si="100"/>
        <v>0</v>
      </c>
      <c r="G219" s="168">
        <f t="shared" si="100"/>
        <v>0</v>
      </c>
      <c r="H219" s="168">
        <f t="shared" si="100"/>
        <v>0</v>
      </c>
      <c r="I219" s="168">
        <f t="shared" si="100"/>
        <v>0</v>
      </c>
    </row>
    <row r="220" spans="1:9" hidden="1" x14ac:dyDescent="0.25">
      <c r="A220" s="157"/>
      <c r="B220" s="174">
        <v>412</v>
      </c>
      <c r="C220" s="156"/>
      <c r="D220" s="245" t="s">
        <v>181</v>
      </c>
      <c r="E220" s="155">
        <f t="shared" si="100"/>
        <v>0</v>
      </c>
      <c r="F220" s="155">
        <f t="shared" si="100"/>
        <v>0</v>
      </c>
      <c r="G220" s="155">
        <f t="shared" si="100"/>
        <v>0</v>
      </c>
      <c r="H220" s="155">
        <f t="shared" si="100"/>
        <v>0</v>
      </c>
      <c r="I220" s="155">
        <f t="shared" si="100"/>
        <v>0</v>
      </c>
    </row>
    <row r="221" spans="1:9" hidden="1" x14ac:dyDescent="0.25">
      <c r="A221" s="180"/>
      <c r="B221" s="174">
        <v>4123</v>
      </c>
      <c r="C221" s="156"/>
      <c r="D221" s="245" t="s">
        <v>182</v>
      </c>
      <c r="E221" s="163"/>
      <c r="F221" s="163"/>
      <c r="G221" s="163"/>
      <c r="H221" s="163"/>
      <c r="I221" s="163"/>
    </row>
    <row r="222" spans="1:9" hidden="1" x14ac:dyDescent="0.25">
      <c r="A222" s="217"/>
      <c r="B222" s="133">
        <v>42</v>
      </c>
      <c r="C222" s="203"/>
      <c r="D222" s="216" t="s">
        <v>183</v>
      </c>
      <c r="E222" s="168">
        <f t="shared" ref="E222" si="101">SUM(E223,E225,E235,E237)</f>
        <v>0</v>
      </c>
      <c r="F222" s="168">
        <f t="shared" ref="F222:I222" si="102">SUM(F223,F225,F235,F237)</f>
        <v>0</v>
      </c>
      <c r="G222" s="168">
        <f t="shared" si="102"/>
        <v>0</v>
      </c>
      <c r="H222" s="168">
        <f t="shared" si="102"/>
        <v>0</v>
      </c>
      <c r="I222" s="168">
        <f t="shared" si="102"/>
        <v>0</v>
      </c>
    </row>
    <row r="223" spans="1:9" hidden="1" x14ac:dyDescent="0.25">
      <c r="A223" s="217"/>
      <c r="B223" s="152" t="s">
        <v>206</v>
      </c>
      <c r="C223" s="192"/>
      <c r="D223" s="236" t="s">
        <v>207</v>
      </c>
      <c r="E223" s="155">
        <f t="shared" ref="E223:I223" si="103">SUM(E224)</f>
        <v>0</v>
      </c>
      <c r="F223" s="155">
        <f t="shared" si="103"/>
        <v>0</v>
      </c>
      <c r="G223" s="155">
        <f t="shared" si="103"/>
        <v>0</v>
      </c>
      <c r="H223" s="155">
        <f t="shared" si="103"/>
        <v>0</v>
      </c>
      <c r="I223" s="155">
        <f t="shared" si="103"/>
        <v>0</v>
      </c>
    </row>
    <row r="224" spans="1:9" hidden="1" x14ac:dyDescent="0.25">
      <c r="A224" s="217"/>
      <c r="B224" s="218" t="s">
        <v>208</v>
      </c>
      <c r="C224" s="217"/>
      <c r="D224" s="237" t="s">
        <v>209</v>
      </c>
      <c r="E224" s="163"/>
      <c r="F224" s="163"/>
      <c r="G224" s="163"/>
      <c r="H224" s="163"/>
      <c r="I224" s="163"/>
    </row>
    <row r="225" spans="1:9" hidden="1" x14ac:dyDescent="0.25">
      <c r="A225" s="217"/>
      <c r="B225" s="152">
        <v>422</v>
      </c>
      <c r="C225" s="217"/>
      <c r="D225" s="192" t="s">
        <v>184</v>
      </c>
      <c r="E225" s="155">
        <f t="shared" ref="E225" si="104">E226+E229+E233</f>
        <v>0</v>
      </c>
      <c r="F225" s="155">
        <f t="shared" ref="F225:I225" si="105">F226+F229+F233</f>
        <v>0</v>
      </c>
      <c r="G225" s="155">
        <f t="shared" si="105"/>
        <v>0</v>
      </c>
      <c r="H225" s="155">
        <f t="shared" si="105"/>
        <v>0</v>
      </c>
      <c r="I225" s="155">
        <f t="shared" si="105"/>
        <v>0</v>
      </c>
    </row>
    <row r="226" spans="1:9" hidden="1" x14ac:dyDescent="0.25">
      <c r="A226" s="217"/>
      <c r="B226" s="152" t="s">
        <v>185</v>
      </c>
      <c r="C226" s="192"/>
      <c r="D226" s="192" t="s">
        <v>186</v>
      </c>
      <c r="E226" s="155">
        <f t="shared" ref="E226:I226" si="106">SUM(E227)</f>
        <v>0</v>
      </c>
      <c r="F226" s="155">
        <f t="shared" si="106"/>
        <v>0</v>
      </c>
      <c r="G226" s="155">
        <f t="shared" si="106"/>
        <v>0</v>
      </c>
      <c r="H226" s="155">
        <f t="shared" si="106"/>
        <v>0</v>
      </c>
      <c r="I226" s="155">
        <f t="shared" si="106"/>
        <v>0</v>
      </c>
    </row>
    <row r="227" spans="1:9" hidden="1" x14ac:dyDescent="0.25">
      <c r="A227" s="217"/>
      <c r="B227" s="218" t="s">
        <v>526</v>
      </c>
      <c r="C227" s="217"/>
      <c r="D227" s="217" t="s">
        <v>465</v>
      </c>
      <c r="E227" s="163"/>
      <c r="F227" s="163"/>
      <c r="G227" s="163"/>
      <c r="H227" s="163"/>
      <c r="I227" s="163"/>
    </row>
    <row r="228" spans="1:9" hidden="1" x14ac:dyDescent="0.25">
      <c r="A228" s="217"/>
      <c r="B228" s="218" t="s">
        <v>187</v>
      </c>
      <c r="C228" s="217"/>
      <c r="D228" s="217" t="s">
        <v>188</v>
      </c>
      <c r="E228" s="163"/>
      <c r="F228" s="163"/>
      <c r="G228" s="163"/>
      <c r="H228" s="163"/>
      <c r="I228" s="163"/>
    </row>
    <row r="229" spans="1:9" hidden="1" x14ac:dyDescent="0.25">
      <c r="A229" s="217"/>
      <c r="B229" s="174">
        <v>4223</v>
      </c>
      <c r="C229" s="156"/>
      <c r="D229" s="245" t="s">
        <v>189</v>
      </c>
      <c r="E229" s="155">
        <f t="shared" ref="E229:I229" si="107">SUM(E230)</f>
        <v>0</v>
      </c>
      <c r="F229" s="155">
        <f t="shared" si="107"/>
        <v>0</v>
      </c>
      <c r="G229" s="155">
        <f t="shared" si="107"/>
        <v>0</v>
      </c>
      <c r="H229" s="155">
        <f t="shared" si="107"/>
        <v>0</v>
      </c>
      <c r="I229" s="155">
        <f t="shared" si="107"/>
        <v>0</v>
      </c>
    </row>
    <row r="230" spans="1:9" hidden="1" x14ac:dyDescent="0.25">
      <c r="A230" s="180"/>
      <c r="B230" s="177">
        <v>42231</v>
      </c>
      <c r="C230" s="160"/>
      <c r="D230" s="246" t="s">
        <v>468</v>
      </c>
      <c r="E230" s="163"/>
      <c r="F230" s="163"/>
      <c r="G230" s="163"/>
      <c r="H230" s="163"/>
      <c r="I230" s="163"/>
    </row>
    <row r="231" spans="1:9" hidden="1" x14ac:dyDescent="0.25">
      <c r="A231" s="180"/>
      <c r="B231" s="177">
        <v>4224</v>
      </c>
      <c r="C231" s="160"/>
      <c r="D231" s="246" t="s">
        <v>190</v>
      </c>
      <c r="E231" s="163"/>
      <c r="F231" s="163"/>
      <c r="G231" s="163"/>
      <c r="H231" s="163"/>
      <c r="I231" s="163"/>
    </row>
    <row r="232" spans="1:9" hidden="1" x14ac:dyDescent="0.25">
      <c r="A232" s="180"/>
      <c r="B232" s="177">
        <v>4225</v>
      </c>
      <c r="C232" s="160"/>
      <c r="D232" s="246" t="s">
        <v>191</v>
      </c>
      <c r="E232" s="163"/>
      <c r="F232" s="163"/>
      <c r="G232" s="163"/>
      <c r="H232" s="163"/>
      <c r="I232" s="163"/>
    </row>
    <row r="233" spans="1:9" hidden="1" x14ac:dyDescent="0.25">
      <c r="A233" s="180"/>
      <c r="B233" s="174">
        <v>4227</v>
      </c>
      <c r="C233" s="156"/>
      <c r="D233" s="245" t="s">
        <v>192</v>
      </c>
      <c r="E233" s="155">
        <f t="shared" ref="E233:I233" si="108">SUM(E234)</f>
        <v>0</v>
      </c>
      <c r="F233" s="155">
        <f t="shared" si="108"/>
        <v>0</v>
      </c>
      <c r="G233" s="155">
        <f t="shared" si="108"/>
        <v>0</v>
      </c>
      <c r="H233" s="155">
        <f t="shared" si="108"/>
        <v>0</v>
      </c>
      <c r="I233" s="155">
        <f t="shared" si="108"/>
        <v>0</v>
      </c>
    </row>
    <row r="234" spans="1:9" hidden="1" x14ac:dyDescent="0.25">
      <c r="A234" s="180"/>
      <c r="B234" s="177">
        <v>42273</v>
      </c>
      <c r="C234" s="160"/>
      <c r="D234" s="331" t="s">
        <v>192</v>
      </c>
      <c r="E234" s="163"/>
      <c r="F234" s="163"/>
      <c r="G234" s="163"/>
      <c r="H234" s="163"/>
      <c r="I234" s="163"/>
    </row>
    <row r="235" spans="1:9" s="130" customFormat="1" hidden="1" x14ac:dyDescent="0.25">
      <c r="A235" s="157"/>
      <c r="B235" s="174">
        <v>423</v>
      </c>
      <c r="C235" s="156"/>
      <c r="D235" s="245" t="s">
        <v>193</v>
      </c>
      <c r="E235" s="155">
        <f t="shared" ref="E235:I235" si="109">E236</f>
        <v>0</v>
      </c>
      <c r="F235" s="155">
        <f t="shared" si="109"/>
        <v>0</v>
      </c>
      <c r="G235" s="155">
        <f t="shared" si="109"/>
        <v>0</v>
      </c>
      <c r="H235" s="155">
        <f t="shared" si="109"/>
        <v>0</v>
      </c>
      <c r="I235" s="155">
        <f t="shared" si="109"/>
        <v>0</v>
      </c>
    </row>
    <row r="236" spans="1:9" hidden="1" x14ac:dyDescent="0.25">
      <c r="A236" s="180"/>
      <c r="B236" s="177">
        <v>4231</v>
      </c>
      <c r="C236" s="160"/>
      <c r="D236" s="246" t="s">
        <v>193</v>
      </c>
      <c r="E236" s="163"/>
      <c r="F236" s="163"/>
      <c r="G236" s="163"/>
      <c r="H236" s="163"/>
      <c r="I236" s="163"/>
    </row>
    <row r="237" spans="1:9" hidden="1" x14ac:dyDescent="0.25">
      <c r="A237" s="180"/>
      <c r="B237" s="174">
        <v>426</v>
      </c>
      <c r="C237" s="156"/>
      <c r="D237" s="245" t="s">
        <v>194</v>
      </c>
      <c r="E237" s="155">
        <f t="shared" ref="E237:I237" si="110">E238</f>
        <v>0</v>
      </c>
      <c r="F237" s="155">
        <f t="shared" si="110"/>
        <v>0</v>
      </c>
      <c r="G237" s="155">
        <f t="shared" si="110"/>
        <v>0</v>
      </c>
      <c r="H237" s="155">
        <f t="shared" si="110"/>
        <v>0</v>
      </c>
      <c r="I237" s="155">
        <f t="shared" si="110"/>
        <v>0</v>
      </c>
    </row>
    <row r="238" spans="1:9" hidden="1" x14ac:dyDescent="0.25">
      <c r="A238" s="180"/>
      <c r="B238" s="177">
        <v>4262</v>
      </c>
      <c r="C238" s="160"/>
      <c r="D238" s="246" t="s">
        <v>195</v>
      </c>
      <c r="E238" s="163"/>
      <c r="F238" s="163"/>
      <c r="G238" s="163"/>
      <c r="H238" s="163"/>
      <c r="I238" s="163"/>
    </row>
    <row r="239" spans="1:9" x14ac:dyDescent="0.25">
      <c r="A239" s="247"/>
      <c r="B239" s="248"/>
      <c r="C239" s="262" t="s">
        <v>66</v>
      </c>
      <c r="D239" s="263" t="s">
        <v>210</v>
      </c>
      <c r="E239" s="264">
        <f>E104+E218</f>
        <v>0</v>
      </c>
      <c r="F239" s="264">
        <f>F104+F218</f>
        <v>0</v>
      </c>
      <c r="G239" s="264">
        <f>G104+G218</f>
        <v>3804916.33</v>
      </c>
      <c r="H239" s="264">
        <f>H104+H218</f>
        <v>3850540.33</v>
      </c>
      <c r="I239" s="264">
        <f>I104+I218</f>
        <v>3882388.81</v>
      </c>
    </row>
    <row r="240" spans="1:9" x14ac:dyDescent="0.25">
      <c r="A240" s="521"/>
      <c r="B240" s="522"/>
      <c r="C240" s="523" t="s">
        <v>86</v>
      </c>
      <c r="D240" s="524" t="s">
        <v>716</v>
      </c>
      <c r="E240" s="528"/>
      <c r="F240" s="528"/>
      <c r="G240" s="528">
        <f>G239</f>
        <v>3804916.33</v>
      </c>
      <c r="H240" s="528">
        <f t="shared" ref="H240:I240" si="111">H239</f>
        <v>3850540.33</v>
      </c>
      <c r="I240" s="528">
        <f t="shared" si="111"/>
        <v>3882388.81</v>
      </c>
    </row>
    <row r="241" spans="1:9" s="118" customFormat="1" x14ac:dyDescent="0.25">
      <c r="A241" s="212" t="s">
        <v>86</v>
      </c>
      <c r="B241" s="212"/>
      <c r="C241" s="213"/>
      <c r="D241" s="214" t="s">
        <v>87</v>
      </c>
      <c r="E241" s="215">
        <f t="shared" ref="E241" si="112">E242+E265+E382+E394+E398+E403</f>
        <v>0</v>
      </c>
      <c r="F241" s="215">
        <f t="shared" ref="F241:I241" si="113">F242+F265+F382+F394+F398+F403</f>
        <v>0</v>
      </c>
      <c r="G241" s="215">
        <f t="shared" si="113"/>
        <v>21324784.77</v>
      </c>
      <c r="H241" s="215">
        <f t="shared" si="113"/>
        <v>21627066.129999999</v>
      </c>
      <c r="I241" s="215">
        <f t="shared" si="113"/>
        <v>21934695.609999999</v>
      </c>
    </row>
    <row r="242" spans="1:9" s="118" customFormat="1" x14ac:dyDescent="0.25">
      <c r="A242" s="192"/>
      <c r="B242" s="133">
        <v>31</v>
      </c>
      <c r="C242" s="203"/>
      <c r="D242" s="216" t="s">
        <v>88</v>
      </c>
      <c r="E242" s="136">
        <f t="shared" ref="E242" si="114">E243+E252+E260</f>
        <v>0</v>
      </c>
      <c r="F242" s="136">
        <f t="shared" ref="F242:I242" si="115">F243+F252+F260</f>
        <v>0</v>
      </c>
      <c r="G242" s="136">
        <f t="shared" si="115"/>
        <v>13895551.15</v>
      </c>
      <c r="H242" s="136">
        <f t="shared" si="115"/>
        <v>14019016.51</v>
      </c>
      <c r="I242" s="136">
        <f t="shared" si="115"/>
        <v>14142396.4</v>
      </c>
    </row>
    <row r="243" spans="1:9" s="131" customFormat="1" x14ac:dyDescent="0.25">
      <c r="A243" s="192"/>
      <c r="B243" s="152">
        <v>311</v>
      </c>
      <c r="C243" s="217"/>
      <c r="D243" s="192" t="s">
        <v>89</v>
      </c>
      <c r="E243" s="155">
        <f t="shared" ref="E243" si="116">E244+E248+E250</f>
        <v>0</v>
      </c>
      <c r="F243" s="155">
        <f t="shared" ref="F243:I243" si="117">F244+F248+F250</f>
        <v>0</v>
      </c>
      <c r="G243" s="155">
        <f t="shared" si="117"/>
        <v>11748762.310000001</v>
      </c>
      <c r="H243" s="155">
        <f t="shared" si="117"/>
        <v>11813800</v>
      </c>
      <c r="I243" s="155">
        <f t="shared" si="117"/>
        <v>11886800</v>
      </c>
    </row>
    <row r="244" spans="1:9" s="131" customFormat="1" x14ac:dyDescent="0.25">
      <c r="A244" s="192"/>
      <c r="B244" s="152">
        <v>3111</v>
      </c>
      <c r="C244" s="217"/>
      <c r="D244" s="192" t="s">
        <v>90</v>
      </c>
      <c r="E244" s="155">
        <f t="shared" ref="E244" si="118">SUM(E245:E246)</f>
        <v>0</v>
      </c>
      <c r="F244" s="155">
        <f t="shared" ref="F244:I244" si="119">SUM(F245:F246)</f>
        <v>0</v>
      </c>
      <c r="G244" s="155">
        <f t="shared" si="119"/>
        <v>11578762.310000001</v>
      </c>
      <c r="H244" s="155">
        <f t="shared" si="119"/>
        <v>11636800</v>
      </c>
      <c r="I244" s="155">
        <f t="shared" si="119"/>
        <v>11702800</v>
      </c>
    </row>
    <row r="245" spans="1:9" s="131" customFormat="1" x14ac:dyDescent="0.25">
      <c r="A245" s="192"/>
      <c r="B245" s="218" t="s">
        <v>484</v>
      </c>
      <c r="C245" s="217"/>
      <c r="D245" s="217" t="s">
        <v>90</v>
      </c>
      <c r="E245" s="163">
        <f>'Rekapitulacija Posebni dio'!C12</f>
        <v>0</v>
      </c>
      <c r="F245" s="163">
        <f>'Rekapitulacija Posebni dio'!D12</f>
        <v>0</v>
      </c>
      <c r="G245" s="163">
        <f>'Rekapitulacija Posebni dio'!E12</f>
        <v>11576962.310000001</v>
      </c>
      <c r="H245" s="163">
        <f>'Rekapitulacija Posebni dio'!F12</f>
        <v>11635000</v>
      </c>
      <c r="I245" s="163">
        <f>'Rekapitulacija Posebni dio'!G12</f>
        <v>11701000</v>
      </c>
    </row>
    <row r="246" spans="1:9" s="219" customFormat="1" x14ac:dyDescent="0.25">
      <c r="A246" s="217"/>
      <c r="B246" s="218" t="s">
        <v>485</v>
      </c>
      <c r="C246" s="217"/>
      <c r="D246" s="217" t="s">
        <v>400</v>
      </c>
      <c r="E246" s="163">
        <f>'Rekapitulacija Posebni dio'!C13</f>
        <v>0</v>
      </c>
      <c r="F246" s="163">
        <f>'Rekapitulacija Posebni dio'!D13</f>
        <v>0</v>
      </c>
      <c r="G246" s="163">
        <f>'Rekapitulacija Posebni dio'!E13</f>
        <v>1800</v>
      </c>
      <c r="H246" s="163">
        <f>'Rekapitulacija Posebni dio'!F13</f>
        <v>1800</v>
      </c>
      <c r="I246" s="163">
        <f>'Rekapitulacija Posebni dio'!G13</f>
        <v>1800</v>
      </c>
    </row>
    <row r="247" spans="1:9" s="219" customFormat="1" hidden="1" x14ac:dyDescent="0.25">
      <c r="A247" s="217"/>
      <c r="B247" s="152" t="s">
        <v>91</v>
      </c>
      <c r="C247" s="192"/>
      <c r="D247" s="192" t="s">
        <v>92</v>
      </c>
      <c r="E247" s="155"/>
      <c r="F247" s="155"/>
      <c r="G247" s="155"/>
      <c r="H247" s="155"/>
      <c r="I247" s="155"/>
    </row>
    <row r="248" spans="1:9" s="219" customFormat="1" x14ac:dyDescent="0.25">
      <c r="A248" s="217"/>
      <c r="B248" s="152" t="s">
        <v>93</v>
      </c>
      <c r="C248" s="192"/>
      <c r="D248" s="192" t="s">
        <v>94</v>
      </c>
      <c r="E248" s="155">
        <f t="shared" ref="E248:I248" si="120">SUM(E249)</f>
        <v>0</v>
      </c>
      <c r="F248" s="155">
        <f t="shared" si="120"/>
        <v>0</v>
      </c>
      <c r="G248" s="155">
        <f t="shared" si="120"/>
        <v>170000</v>
      </c>
      <c r="H248" s="155">
        <f t="shared" si="120"/>
        <v>177000</v>
      </c>
      <c r="I248" s="155">
        <f t="shared" si="120"/>
        <v>184000</v>
      </c>
    </row>
    <row r="249" spans="1:9" s="219" customFormat="1" x14ac:dyDescent="0.25">
      <c r="A249" s="217"/>
      <c r="B249" s="218" t="s">
        <v>486</v>
      </c>
      <c r="C249" s="217"/>
      <c r="D249" s="217" t="s">
        <v>94</v>
      </c>
      <c r="E249" s="163">
        <f>'Rekapitulacija Posebni dio'!C16</f>
        <v>0</v>
      </c>
      <c r="F249" s="163">
        <f>'Rekapitulacija Posebni dio'!D16</f>
        <v>0</v>
      </c>
      <c r="G249" s="163">
        <f>'Rekapitulacija Posebni dio'!E16</f>
        <v>170000</v>
      </c>
      <c r="H249" s="163">
        <f>'Rekapitulacija Posebni dio'!F16</f>
        <v>177000</v>
      </c>
      <c r="I249" s="163">
        <f>'Rekapitulacija Posebni dio'!G16</f>
        <v>184000</v>
      </c>
    </row>
    <row r="250" spans="1:9" s="219" customFormat="1" hidden="1" x14ac:dyDescent="0.25">
      <c r="A250" s="217"/>
      <c r="B250" s="152" t="s">
        <v>95</v>
      </c>
      <c r="C250" s="192"/>
      <c r="D250" s="192" t="s">
        <v>96</v>
      </c>
      <c r="E250" s="155">
        <f t="shared" ref="E250:I250" si="121">SUM(E251)</f>
        <v>0</v>
      </c>
      <c r="F250" s="155">
        <f t="shared" si="121"/>
        <v>0</v>
      </c>
      <c r="G250" s="155">
        <f t="shared" si="121"/>
        <v>0</v>
      </c>
      <c r="H250" s="155">
        <f t="shared" si="121"/>
        <v>0</v>
      </c>
      <c r="I250" s="155">
        <f t="shared" si="121"/>
        <v>0</v>
      </c>
    </row>
    <row r="251" spans="1:9" s="219" customFormat="1" hidden="1" x14ac:dyDescent="0.25">
      <c r="A251" s="217"/>
      <c r="B251" s="218" t="s">
        <v>487</v>
      </c>
      <c r="C251" s="217"/>
      <c r="D251" s="217" t="s">
        <v>96</v>
      </c>
      <c r="E251" s="163">
        <f>'Rekapitulacija Posebni dio'!C18</f>
        <v>0</v>
      </c>
      <c r="F251" s="163">
        <f>'Rekapitulacija Posebni dio'!D18</f>
        <v>0</v>
      </c>
      <c r="G251" s="163">
        <f>'Rekapitulacija Posebni dio'!E18</f>
        <v>0</v>
      </c>
      <c r="H251" s="163">
        <f>'Rekapitulacija Posebni dio'!F18</f>
        <v>0</v>
      </c>
      <c r="I251" s="163">
        <f>'Rekapitulacija Posebni dio'!G18</f>
        <v>0</v>
      </c>
    </row>
    <row r="252" spans="1:9" s="220" customFormat="1" x14ac:dyDescent="0.25">
      <c r="A252" s="192"/>
      <c r="B252" s="152" t="s">
        <v>97</v>
      </c>
      <c r="C252" s="192"/>
      <c r="D252" s="192" t="s">
        <v>98</v>
      </c>
      <c r="E252" s="155">
        <f t="shared" ref="E252:I252" si="122">SUM(E253)</f>
        <v>0</v>
      </c>
      <c r="F252" s="155">
        <f t="shared" si="122"/>
        <v>0</v>
      </c>
      <c r="G252" s="155">
        <f t="shared" si="122"/>
        <v>350300</v>
      </c>
      <c r="H252" s="155">
        <f t="shared" si="122"/>
        <v>365500</v>
      </c>
      <c r="I252" s="155">
        <f t="shared" si="122"/>
        <v>380700</v>
      </c>
    </row>
    <row r="253" spans="1:9" s="220" customFormat="1" x14ac:dyDescent="0.25">
      <c r="A253" s="192"/>
      <c r="B253" s="152" t="s">
        <v>99</v>
      </c>
      <c r="C253" s="192"/>
      <c r="D253" s="192" t="s">
        <v>98</v>
      </c>
      <c r="E253" s="155">
        <f t="shared" ref="E253:I253" si="123">SUM(E254:E259)</f>
        <v>0</v>
      </c>
      <c r="F253" s="155">
        <f t="shared" si="123"/>
        <v>0</v>
      </c>
      <c r="G253" s="155">
        <f t="shared" si="123"/>
        <v>350300</v>
      </c>
      <c r="H253" s="155">
        <f t="shared" si="123"/>
        <v>365500</v>
      </c>
      <c r="I253" s="155">
        <f t="shared" si="123"/>
        <v>380700</v>
      </c>
    </row>
    <row r="254" spans="1:9" s="220" customFormat="1" x14ac:dyDescent="0.25">
      <c r="A254" s="192"/>
      <c r="B254" s="218" t="s">
        <v>488</v>
      </c>
      <c r="C254" s="217"/>
      <c r="D254" s="331" t="s">
        <v>402</v>
      </c>
      <c r="E254" s="163">
        <f>'Rekapitulacija Posebni dio'!C21</f>
        <v>0</v>
      </c>
      <c r="F254" s="163">
        <f>'Rekapitulacija Posebni dio'!D21</f>
        <v>0</v>
      </c>
      <c r="G254" s="163">
        <f>'Rekapitulacija Posebni dio'!E21</f>
        <v>124500</v>
      </c>
      <c r="H254" s="163">
        <f>'Rekapitulacija Posebni dio'!F21</f>
        <v>128000</v>
      </c>
      <c r="I254" s="163">
        <f>'Rekapitulacija Posebni dio'!G21</f>
        <v>131500</v>
      </c>
    </row>
    <row r="255" spans="1:9" s="220" customFormat="1" x14ac:dyDescent="0.25">
      <c r="A255" s="192"/>
      <c r="B255" s="218" t="s">
        <v>489</v>
      </c>
      <c r="C255" s="192"/>
      <c r="D255" s="331" t="s">
        <v>404</v>
      </c>
      <c r="E255" s="163">
        <f>'Rekapitulacija Posebni dio'!C22</f>
        <v>0</v>
      </c>
      <c r="F255" s="163">
        <f>'Rekapitulacija Posebni dio'!D22</f>
        <v>0</v>
      </c>
      <c r="G255" s="163">
        <f>'Rekapitulacija Posebni dio'!E22</f>
        <v>26000</v>
      </c>
      <c r="H255" s="163">
        <f>'Rekapitulacija Posebni dio'!F22</f>
        <v>28000</v>
      </c>
      <c r="I255" s="163">
        <f>'Rekapitulacija Posebni dio'!G22</f>
        <v>30000</v>
      </c>
    </row>
    <row r="256" spans="1:9" s="220" customFormat="1" x14ac:dyDescent="0.25">
      <c r="A256" s="192"/>
      <c r="B256" s="218" t="s">
        <v>490</v>
      </c>
      <c r="C256" s="192"/>
      <c r="D256" s="331" t="s">
        <v>403</v>
      </c>
      <c r="E256" s="163">
        <f>'Rekapitulacija Posebni dio'!C23</f>
        <v>0</v>
      </c>
      <c r="F256" s="163">
        <f>'Rekapitulacija Posebni dio'!D23</f>
        <v>0</v>
      </c>
      <c r="G256" s="163">
        <f>'Rekapitulacija Posebni dio'!E23</f>
        <v>27000</v>
      </c>
      <c r="H256" s="163">
        <f>'Rekapitulacija Posebni dio'!F23</f>
        <v>28500</v>
      </c>
      <c r="I256" s="163">
        <f>'Rekapitulacija Posebni dio'!G23</f>
        <v>30000</v>
      </c>
    </row>
    <row r="257" spans="1:9" s="220" customFormat="1" x14ac:dyDescent="0.25">
      <c r="A257" s="192"/>
      <c r="B257" s="218" t="s">
        <v>491</v>
      </c>
      <c r="C257" s="192"/>
      <c r="D257" s="331" t="s">
        <v>405</v>
      </c>
      <c r="E257" s="163">
        <f>'Rekapitulacija Posebni dio'!C24</f>
        <v>0</v>
      </c>
      <c r="F257" s="163">
        <f>'Rekapitulacija Posebni dio'!D24</f>
        <v>0</v>
      </c>
      <c r="G257" s="163">
        <f>'Rekapitulacija Posebni dio'!E24</f>
        <v>13800</v>
      </c>
      <c r="H257" s="163">
        <f>'Rekapitulacija Posebni dio'!F24</f>
        <v>15000</v>
      </c>
      <c r="I257" s="163">
        <f>'Rekapitulacija Posebni dio'!G24</f>
        <v>16200</v>
      </c>
    </row>
    <row r="258" spans="1:9" s="220" customFormat="1" x14ac:dyDescent="0.25">
      <c r="A258" s="192"/>
      <c r="B258" s="218" t="s">
        <v>492</v>
      </c>
      <c r="C258" s="192"/>
      <c r="D258" s="331" t="s">
        <v>406</v>
      </c>
      <c r="E258" s="163">
        <f>'Rekapitulacija Posebni dio'!C25</f>
        <v>0</v>
      </c>
      <c r="F258" s="163">
        <f>'Rekapitulacija Posebni dio'!D25</f>
        <v>0</v>
      </c>
      <c r="G258" s="163">
        <f>'Rekapitulacija Posebni dio'!E25</f>
        <v>92000</v>
      </c>
      <c r="H258" s="163">
        <f>'Rekapitulacija Posebni dio'!F25</f>
        <v>95000</v>
      </c>
      <c r="I258" s="163">
        <f>'Rekapitulacija Posebni dio'!G25</f>
        <v>98000</v>
      </c>
    </row>
    <row r="259" spans="1:9" s="219" customFormat="1" x14ac:dyDescent="0.25">
      <c r="A259" s="217"/>
      <c r="B259" s="218" t="s">
        <v>493</v>
      </c>
      <c r="C259" s="217"/>
      <c r="D259" s="331" t="s">
        <v>401</v>
      </c>
      <c r="E259" s="163">
        <f>'Rekapitulacija Posebni dio'!C26</f>
        <v>0</v>
      </c>
      <c r="F259" s="163">
        <f>'Rekapitulacija Posebni dio'!D26</f>
        <v>0</v>
      </c>
      <c r="G259" s="163">
        <f>'Rekapitulacija Posebni dio'!E26</f>
        <v>67000</v>
      </c>
      <c r="H259" s="163">
        <f>'Rekapitulacija Posebni dio'!F26</f>
        <v>71000</v>
      </c>
      <c r="I259" s="163">
        <f>'Rekapitulacija Posebni dio'!G26</f>
        <v>75000</v>
      </c>
    </row>
    <row r="260" spans="1:9" s="219" customFormat="1" x14ac:dyDescent="0.25">
      <c r="A260" s="192"/>
      <c r="B260" s="156">
        <v>313</v>
      </c>
      <c r="C260" s="192"/>
      <c r="D260" s="192" t="s">
        <v>100</v>
      </c>
      <c r="E260" s="221">
        <f>E261+E263</f>
        <v>0</v>
      </c>
      <c r="F260" s="221">
        <f t="shared" ref="F260:I260" si="124">F261+F263</f>
        <v>0</v>
      </c>
      <c r="G260" s="221">
        <f t="shared" si="124"/>
        <v>1796488.8399999999</v>
      </c>
      <c r="H260" s="221">
        <f t="shared" si="124"/>
        <v>1839716.51</v>
      </c>
      <c r="I260" s="221">
        <f t="shared" si="124"/>
        <v>1874896.4</v>
      </c>
    </row>
    <row r="261" spans="1:9" s="219" customFormat="1" x14ac:dyDescent="0.25">
      <c r="A261" s="192"/>
      <c r="B261" s="156">
        <v>3132</v>
      </c>
      <c r="C261" s="192"/>
      <c r="D261" s="192" t="s">
        <v>101</v>
      </c>
      <c r="E261" s="221">
        <f t="shared" ref="E261:I261" si="125">SUM(E262)</f>
        <v>0</v>
      </c>
      <c r="F261" s="221">
        <f t="shared" si="125"/>
        <v>0</v>
      </c>
      <c r="G261" s="221">
        <f t="shared" si="125"/>
        <v>1796488.8399999999</v>
      </c>
      <c r="H261" s="221">
        <f t="shared" si="125"/>
        <v>1839716.51</v>
      </c>
      <c r="I261" s="221">
        <f t="shared" si="125"/>
        <v>1874896.4</v>
      </c>
    </row>
    <row r="262" spans="1:9" s="118" customFormat="1" x14ac:dyDescent="0.25">
      <c r="A262" s="217"/>
      <c r="B262" s="160" t="s">
        <v>494</v>
      </c>
      <c r="C262" s="217"/>
      <c r="D262" s="217" t="s">
        <v>101</v>
      </c>
      <c r="E262" s="163">
        <f>'Rekapitulacija Posebni dio'!C29</f>
        <v>0</v>
      </c>
      <c r="F262" s="163">
        <f>'Rekapitulacija Posebni dio'!D29</f>
        <v>0</v>
      </c>
      <c r="G262" s="163">
        <f>'Rekapitulacija Posebni dio'!E29</f>
        <v>1796488.8399999999</v>
      </c>
      <c r="H262" s="163">
        <f>'Rekapitulacija Posebni dio'!F29</f>
        <v>1839716.51</v>
      </c>
      <c r="I262" s="163">
        <f>'Rekapitulacija Posebni dio'!G29</f>
        <v>1874896.4</v>
      </c>
    </row>
    <row r="263" spans="1:9" s="118" customFormat="1" hidden="1" x14ac:dyDescent="0.25">
      <c r="A263" s="217"/>
      <c r="B263" s="422" t="s">
        <v>324</v>
      </c>
      <c r="C263" s="217"/>
      <c r="D263" s="418" t="s">
        <v>563</v>
      </c>
      <c r="E263" s="155">
        <f>E264</f>
        <v>0</v>
      </c>
      <c r="F263" s="155">
        <f t="shared" ref="F263:I263" si="126">F264</f>
        <v>0</v>
      </c>
      <c r="G263" s="155">
        <f t="shared" si="126"/>
        <v>0</v>
      </c>
      <c r="H263" s="155">
        <f t="shared" si="126"/>
        <v>0</v>
      </c>
      <c r="I263" s="155">
        <f t="shared" si="126"/>
        <v>0</v>
      </c>
    </row>
    <row r="264" spans="1:9" s="118" customFormat="1" hidden="1" x14ac:dyDescent="0.25">
      <c r="A264" s="217"/>
      <c r="B264" s="423" t="s">
        <v>562</v>
      </c>
      <c r="C264" s="217"/>
      <c r="D264" s="331" t="s">
        <v>564</v>
      </c>
      <c r="E264" s="163">
        <f>'Rekapitulacija Posebni dio'!C31</f>
        <v>0</v>
      </c>
      <c r="F264" s="163">
        <f>'Rekapitulacija Posebni dio'!D31</f>
        <v>0</v>
      </c>
      <c r="G264" s="163">
        <f>'Rekapitulacija Posebni dio'!E31</f>
        <v>0</v>
      </c>
      <c r="H264" s="163">
        <f>'Rekapitulacija Posebni dio'!F31</f>
        <v>0</v>
      </c>
      <c r="I264" s="163">
        <f>'Rekapitulacija Posebni dio'!G31</f>
        <v>0</v>
      </c>
    </row>
    <row r="265" spans="1:9" s="118" customFormat="1" x14ac:dyDescent="0.25">
      <c r="A265" s="192"/>
      <c r="B265" s="133">
        <v>32</v>
      </c>
      <c r="C265" s="203"/>
      <c r="D265" s="216" t="s">
        <v>102</v>
      </c>
      <c r="E265" s="136">
        <f>E266+E279+E308+E350+E353+E361</f>
        <v>0</v>
      </c>
      <c r="F265" s="136">
        <f t="shared" ref="F265:I265" si="127">F266+F279+F308+F350+F353+F361</f>
        <v>0</v>
      </c>
      <c r="G265" s="136">
        <f t="shared" si="127"/>
        <v>7400658.6200000001</v>
      </c>
      <c r="H265" s="136">
        <f t="shared" si="127"/>
        <v>7581279.6200000001</v>
      </c>
      <c r="I265" s="136">
        <f t="shared" si="127"/>
        <v>7765234.21</v>
      </c>
    </row>
    <row r="266" spans="1:9" s="118" customFormat="1" x14ac:dyDescent="0.25">
      <c r="A266" s="192"/>
      <c r="B266" s="152">
        <v>321</v>
      </c>
      <c r="C266" s="192"/>
      <c r="D266" s="192" t="s">
        <v>103</v>
      </c>
      <c r="E266" s="155">
        <f t="shared" ref="E266" si="128">E267+E272+E274+E277</f>
        <v>0</v>
      </c>
      <c r="F266" s="155">
        <f t="shared" ref="F266:I266" si="129">F267+F272+F274+F277</f>
        <v>0</v>
      </c>
      <c r="G266" s="155">
        <f t="shared" si="129"/>
        <v>250944.29</v>
      </c>
      <c r="H266" s="155">
        <f t="shared" si="129"/>
        <v>257170</v>
      </c>
      <c r="I266" s="155">
        <f t="shared" si="129"/>
        <v>264360</v>
      </c>
    </row>
    <row r="267" spans="1:9" s="118" customFormat="1" x14ac:dyDescent="0.25">
      <c r="A267" s="192"/>
      <c r="B267" s="152" t="s">
        <v>104</v>
      </c>
      <c r="C267" s="192"/>
      <c r="D267" s="192" t="s">
        <v>105</v>
      </c>
      <c r="E267" s="155">
        <f t="shared" ref="E267:F267" si="130">SUM(E268:E271)</f>
        <v>0</v>
      </c>
      <c r="F267" s="155">
        <f t="shared" si="130"/>
        <v>0</v>
      </c>
      <c r="G267" s="155">
        <f>SUM(G268:G271)</f>
        <v>6380</v>
      </c>
      <c r="H267" s="155">
        <f t="shared" ref="H267:I267" si="131">SUM(H268:H271)</f>
        <v>6920</v>
      </c>
      <c r="I267" s="155">
        <f t="shared" si="131"/>
        <v>7460</v>
      </c>
    </row>
    <row r="268" spans="1:9" s="118" customFormat="1" x14ac:dyDescent="0.25">
      <c r="A268" s="192"/>
      <c r="B268" s="218" t="s">
        <v>525</v>
      </c>
      <c r="C268" s="217"/>
      <c r="D268" s="217" t="s">
        <v>407</v>
      </c>
      <c r="E268" s="163">
        <f>'Rekapitulacija Posebni dio'!C35</f>
        <v>0</v>
      </c>
      <c r="F268" s="163">
        <f>'Rekapitulacija Posebni dio'!D35</f>
        <v>0</v>
      </c>
      <c r="G268" s="163">
        <f>'Rekapitulacija Posebni dio'!E35</f>
        <v>3600</v>
      </c>
      <c r="H268" s="163">
        <f>'Rekapitulacija Posebni dio'!F35</f>
        <v>3800</v>
      </c>
      <c r="I268" s="163">
        <f>'Rekapitulacija Posebni dio'!G35</f>
        <v>4000</v>
      </c>
    </row>
    <row r="269" spans="1:9" s="118" customFormat="1" x14ac:dyDescent="0.25">
      <c r="A269" s="192"/>
      <c r="B269" s="218" t="s">
        <v>532</v>
      </c>
      <c r="C269" s="217"/>
      <c r="D269" s="217" t="s">
        <v>409</v>
      </c>
      <c r="E269" s="163">
        <f>'Rekapitulacija Posebni dio'!C36</f>
        <v>0</v>
      </c>
      <c r="F269" s="163">
        <f>'Rekapitulacija Posebni dio'!D36</f>
        <v>0</v>
      </c>
      <c r="G269" s="163">
        <f>'Rekapitulacija Posebni dio'!E36</f>
        <v>1500</v>
      </c>
      <c r="H269" s="163">
        <f>'Rekapitulacija Posebni dio'!F36</f>
        <v>1700</v>
      </c>
      <c r="I269" s="163">
        <f>'Rekapitulacija Posebni dio'!G36</f>
        <v>1900</v>
      </c>
    </row>
    <row r="270" spans="1:9" s="223" customFormat="1" x14ac:dyDescent="0.25">
      <c r="A270" s="217"/>
      <c r="B270" s="218" t="s">
        <v>514</v>
      </c>
      <c r="C270" s="217"/>
      <c r="D270" s="217" t="s">
        <v>410</v>
      </c>
      <c r="E270" s="163">
        <f>'Rekapitulacija Posebni dio'!C37</f>
        <v>0</v>
      </c>
      <c r="F270" s="163">
        <f>'Rekapitulacija Posebni dio'!D37</f>
        <v>0</v>
      </c>
      <c r="G270" s="163">
        <f>'Rekapitulacija Posebni dio'!E37</f>
        <v>1200</v>
      </c>
      <c r="H270" s="163">
        <f>'Rekapitulacija Posebni dio'!F37</f>
        <v>1300</v>
      </c>
      <c r="I270" s="163">
        <f>'Rekapitulacija Posebni dio'!G37</f>
        <v>1400</v>
      </c>
    </row>
    <row r="271" spans="1:9" s="223" customFormat="1" x14ac:dyDescent="0.25">
      <c r="A271" s="217"/>
      <c r="B271" s="218" t="s">
        <v>592</v>
      </c>
      <c r="C271" s="217"/>
      <c r="D271" s="217" t="s">
        <v>593</v>
      </c>
      <c r="E271" s="163">
        <f>'Rekapitulacija Posebni dio'!C38</f>
        <v>0</v>
      </c>
      <c r="F271" s="163">
        <f>'Rekapitulacija Posebni dio'!D38</f>
        <v>0</v>
      </c>
      <c r="G271" s="163">
        <f>'Rekapitulacija Posebni dio'!E38</f>
        <v>80</v>
      </c>
      <c r="H271" s="163">
        <f>'Rekapitulacija Posebni dio'!F38</f>
        <v>120</v>
      </c>
      <c r="I271" s="163">
        <f>'Rekapitulacija Posebni dio'!G38</f>
        <v>160</v>
      </c>
    </row>
    <row r="272" spans="1:9" s="223" customFormat="1" x14ac:dyDescent="0.25">
      <c r="A272" s="217"/>
      <c r="B272" s="152" t="s">
        <v>106</v>
      </c>
      <c r="C272" s="192"/>
      <c r="D272" s="226" t="s">
        <v>107</v>
      </c>
      <c r="E272" s="155">
        <f t="shared" ref="E272:I272" si="132">SUM(E273)</f>
        <v>0</v>
      </c>
      <c r="F272" s="155">
        <f t="shared" si="132"/>
        <v>0</v>
      </c>
      <c r="G272" s="155">
        <f t="shared" si="132"/>
        <v>234716.27000000002</v>
      </c>
      <c r="H272" s="155">
        <f t="shared" si="132"/>
        <v>240000</v>
      </c>
      <c r="I272" s="155">
        <f t="shared" si="132"/>
        <v>246000</v>
      </c>
    </row>
    <row r="273" spans="1:9" s="118" customFormat="1" x14ac:dyDescent="0.25">
      <c r="A273" s="217"/>
      <c r="B273" s="218" t="s">
        <v>495</v>
      </c>
      <c r="C273" s="217"/>
      <c r="D273" s="224" t="s">
        <v>107</v>
      </c>
      <c r="E273" s="163">
        <f>'Rekapitulacija Posebni dio'!C40</f>
        <v>0</v>
      </c>
      <c r="F273" s="163">
        <f>'Rekapitulacija Posebni dio'!D40</f>
        <v>0</v>
      </c>
      <c r="G273" s="163">
        <f>'Rekapitulacija Posebni dio'!E40</f>
        <v>234716.27000000002</v>
      </c>
      <c r="H273" s="163">
        <f>'Rekapitulacija Posebni dio'!F40</f>
        <v>240000</v>
      </c>
      <c r="I273" s="163">
        <f>'Rekapitulacija Posebni dio'!G40</f>
        <v>246000</v>
      </c>
    </row>
    <row r="274" spans="1:9" s="118" customFormat="1" x14ac:dyDescent="0.25">
      <c r="A274" s="217"/>
      <c r="B274" s="152" t="s">
        <v>108</v>
      </c>
      <c r="C274" s="192"/>
      <c r="D274" s="226" t="s">
        <v>109</v>
      </c>
      <c r="E274" s="155">
        <f t="shared" ref="E274" si="133">SUM(E275:E276)</f>
        <v>0</v>
      </c>
      <c r="F274" s="155">
        <f t="shared" ref="F274:I274" si="134">SUM(F275:F276)</f>
        <v>0</v>
      </c>
      <c r="G274" s="155">
        <f t="shared" si="134"/>
        <v>9648.02</v>
      </c>
      <c r="H274" s="155">
        <f t="shared" si="134"/>
        <v>10050</v>
      </c>
      <c r="I274" s="155">
        <f t="shared" si="134"/>
        <v>10700</v>
      </c>
    </row>
    <row r="275" spans="1:9" s="118" customFormat="1" x14ac:dyDescent="0.25">
      <c r="A275" s="217"/>
      <c r="B275" s="218" t="s">
        <v>534</v>
      </c>
      <c r="C275" s="217"/>
      <c r="D275" s="224" t="s">
        <v>411</v>
      </c>
      <c r="E275" s="163">
        <f>'Rekapitulacija Posebni dio'!C42</f>
        <v>0</v>
      </c>
      <c r="F275" s="163">
        <f>'Rekapitulacija Posebni dio'!D42</f>
        <v>0</v>
      </c>
      <c r="G275" s="163">
        <f>'Rekapitulacija Posebni dio'!E42</f>
        <v>6570</v>
      </c>
      <c r="H275" s="163">
        <f>'Rekapitulacija Posebni dio'!F42</f>
        <v>6750</v>
      </c>
      <c r="I275" s="163">
        <f>'Rekapitulacija Posebni dio'!G42</f>
        <v>7000</v>
      </c>
    </row>
    <row r="276" spans="1:9" s="118" customFormat="1" x14ac:dyDescent="0.25">
      <c r="A276" s="217"/>
      <c r="B276" s="218" t="s">
        <v>515</v>
      </c>
      <c r="C276" s="217"/>
      <c r="D276" s="224" t="s">
        <v>412</v>
      </c>
      <c r="E276" s="163">
        <f>'Rekapitulacija Posebni dio'!C43</f>
        <v>0</v>
      </c>
      <c r="F276" s="163">
        <f>'Rekapitulacija Posebni dio'!D43</f>
        <v>0</v>
      </c>
      <c r="G276" s="163">
        <f>'Rekapitulacija Posebni dio'!E43</f>
        <v>3078.02</v>
      </c>
      <c r="H276" s="163">
        <f>'Rekapitulacija Posebni dio'!F43</f>
        <v>3300</v>
      </c>
      <c r="I276" s="163">
        <f>'Rekapitulacija Posebni dio'!G43</f>
        <v>3700</v>
      </c>
    </row>
    <row r="277" spans="1:9" s="118" customFormat="1" x14ac:dyDescent="0.25">
      <c r="A277" s="217"/>
      <c r="B277" s="152" t="s">
        <v>110</v>
      </c>
      <c r="C277" s="192"/>
      <c r="D277" s="226" t="s">
        <v>111</v>
      </c>
      <c r="E277" s="155">
        <f t="shared" ref="E277:I277" si="135">SUM(E278)</f>
        <v>0</v>
      </c>
      <c r="F277" s="155">
        <f t="shared" si="135"/>
        <v>0</v>
      </c>
      <c r="G277" s="155">
        <f t="shared" si="135"/>
        <v>200</v>
      </c>
      <c r="H277" s="155">
        <f t="shared" si="135"/>
        <v>200</v>
      </c>
      <c r="I277" s="155">
        <f t="shared" si="135"/>
        <v>200</v>
      </c>
    </row>
    <row r="278" spans="1:9" s="118" customFormat="1" x14ac:dyDescent="0.25">
      <c r="A278" s="217"/>
      <c r="B278" s="218" t="s">
        <v>496</v>
      </c>
      <c r="C278" s="217"/>
      <c r="D278" s="224" t="s">
        <v>533</v>
      </c>
      <c r="E278" s="163">
        <f>'Rekapitulacija Posebni dio'!C45</f>
        <v>0</v>
      </c>
      <c r="F278" s="163">
        <f>'Rekapitulacija Posebni dio'!D45</f>
        <v>0</v>
      </c>
      <c r="G278" s="163">
        <f>'Rekapitulacija Posebni dio'!E45</f>
        <v>200</v>
      </c>
      <c r="H278" s="163">
        <f>'Rekapitulacija Posebni dio'!F45</f>
        <v>200</v>
      </c>
      <c r="I278" s="163">
        <f>'Rekapitulacija Posebni dio'!G45</f>
        <v>200</v>
      </c>
    </row>
    <row r="279" spans="1:9" s="131" customFormat="1" x14ac:dyDescent="0.25">
      <c r="A279" s="192"/>
      <c r="B279" s="152" t="s">
        <v>112</v>
      </c>
      <c r="C279" s="192"/>
      <c r="D279" s="226" t="s">
        <v>113</v>
      </c>
      <c r="E279" s="155">
        <f t="shared" ref="E279" si="136">E280+E287+E293+E298+E303+E306</f>
        <v>0</v>
      </c>
      <c r="F279" s="155">
        <f t="shared" ref="F279:I279" si="137">F280+F287+F293+F298+F303+F306</f>
        <v>0</v>
      </c>
      <c r="G279" s="155">
        <f t="shared" si="137"/>
        <v>3285505</v>
      </c>
      <c r="H279" s="155">
        <f t="shared" si="137"/>
        <v>3334240.29</v>
      </c>
      <c r="I279" s="155">
        <f t="shared" si="137"/>
        <v>3381444.88</v>
      </c>
    </row>
    <row r="280" spans="1:9" s="131" customFormat="1" x14ac:dyDescent="0.25">
      <c r="A280" s="192"/>
      <c r="B280" s="152" t="s">
        <v>114</v>
      </c>
      <c r="C280" s="192"/>
      <c r="D280" s="192" t="s">
        <v>115</v>
      </c>
      <c r="E280" s="155">
        <f t="shared" ref="E280" si="138">SUM(E281:E286)</f>
        <v>0</v>
      </c>
      <c r="F280" s="155">
        <f t="shared" ref="F280:I280" si="139">SUM(F281:F286)</f>
        <v>0</v>
      </c>
      <c r="G280" s="155">
        <f t="shared" si="139"/>
        <v>128000</v>
      </c>
      <c r="H280" s="155">
        <f t="shared" si="139"/>
        <v>136650</v>
      </c>
      <c r="I280" s="155">
        <f t="shared" si="139"/>
        <v>146300</v>
      </c>
    </row>
    <row r="281" spans="1:9" s="131" customFormat="1" x14ac:dyDescent="0.25">
      <c r="A281" s="192"/>
      <c r="B281" s="218" t="s">
        <v>516</v>
      </c>
      <c r="C281" s="217"/>
      <c r="D281" s="224" t="s">
        <v>414</v>
      </c>
      <c r="E281" s="163">
        <f>'Rekapitulacija Posebni dio'!C48</f>
        <v>0</v>
      </c>
      <c r="F281" s="163">
        <f>'Rekapitulacija Posebni dio'!D48</f>
        <v>0</v>
      </c>
      <c r="G281" s="163">
        <f>'Rekapitulacija Posebni dio'!E48</f>
        <v>41000</v>
      </c>
      <c r="H281" s="163">
        <f>'Rekapitulacija Posebni dio'!F48</f>
        <v>44500</v>
      </c>
      <c r="I281" s="163">
        <f>'Rekapitulacija Posebni dio'!G48</f>
        <v>48900</v>
      </c>
    </row>
    <row r="282" spans="1:9" s="131" customFormat="1" x14ac:dyDescent="0.25">
      <c r="A282" s="192"/>
      <c r="B282" s="218" t="s">
        <v>535</v>
      </c>
      <c r="C282" s="217"/>
      <c r="D282" s="224" t="s">
        <v>415</v>
      </c>
      <c r="E282" s="163">
        <f>'Rekapitulacija Posebni dio'!C49</f>
        <v>0</v>
      </c>
      <c r="F282" s="163">
        <f>'Rekapitulacija Posebni dio'!D49</f>
        <v>0</v>
      </c>
      <c r="G282" s="163">
        <f>'Rekapitulacija Posebni dio'!E49</f>
        <v>1500</v>
      </c>
      <c r="H282" s="163">
        <f>'Rekapitulacija Posebni dio'!F49</f>
        <v>1650</v>
      </c>
      <c r="I282" s="163">
        <f>'Rekapitulacija Posebni dio'!G49</f>
        <v>1800</v>
      </c>
    </row>
    <row r="283" spans="1:9" s="131" customFormat="1" x14ac:dyDescent="0.25">
      <c r="A283" s="192"/>
      <c r="B283" s="218" t="s">
        <v>536</v>
      </c>
      <c r="C283" s="217"/>
      <c r="D283" s="224" t="s">
        <v>416</v>
      </c>
      <c r="E283" s="163">
        <f>'Rekapitulacija Posebni dio'!C50</f>
        <v>0</v>
      </c>
      <c r="F283" s="163">
        <f>'Rekapitulacija Posebni dio'!D50</f>
        <v>0</v>
      </c>
      <c r="G283" s="163">
        <f>'Rekapitulacija Posebni dio'!E50</f>
        <v>58500</v>
      </c>
      <c r="H283" s="163">
        <f>'Rekapitulacija Posebni dio'!F50</f>
        <v>61000</v>
      </c>
      <c r="I283" s="163">
        <f>'Rekapitulacija Posebni dio'!G50</f>
        <v>63500</v>
      </c>
    </row>
    <row r="284" spans="1:9" s="131" customFormat="1" x14ac:dyDescent="0.25">
      <c r="A284" s="192"/>
      <c r="B284" s="218" t="s">
        <v>537</v>
      </c>
      <c r="C284" s="217"/>
      <c r="D284" s="224" t="s">
        <v>417</v>
      </c>
      <c r="E284" s="163">
        <f>'Rekapitulacija Posebni dio'!C51</f>
        <v>0</v>
      </c>
      <c r="F284" s="163">
        <f>'Rekapitulacija Posebni dio'!D51</f>
        <v>0</v>
      </c>
      <c r="G284" s="163">
        <f>'Rekapitulacija Posebni dio'!E51</f>
        <v>500</v>
      </c>
      <c r="H284" s="163">
        <f>'Rekapitulacija Posebni dio'!F51</f>
        <v>700</v>
      </c>
      <c r="I284" s="163">
        <f>'Rekapitulacija Posebni dio'!G51</f>
        <v>900</v>
      </c>
    </row>
    <row r="285" spans="1:9" s="131" customFormat="1" x14ac:dyDescent="0.25">
      <c r="A285" s="192"/>
      <c r="B285" s="218" t="s">
        <v>594</v>
      </c>
      <c r="C285" s="217"/>
      <c r="D285" s="224" t="s">
        <v>595</v>
      </c>
      <c r="E285" s="163">
        <f>'Rekapitulacija Posebni dio'!C52</f>
        <v>0</v>
      </c>
      <c r="F285" s="163">
        <f>'Rekapitulacija Posebni dio'!D52</f>
        <v>0</v>
      </c>
      <c r="G285" s="163">
        <f>'Rekapitulacija Posebni dio'!E52</f>
        <v>25000</v>
      </c>
      <c r="H285" s="163">
        <f>'Rekapitulacija Posebni dio'!F52</f>
        <v>27000</v>
      </c>
      <c r="I285" s="163">
        <f>'Rekapitulacija Posebni dio'!G52</f>
        <v>29000</v>
      </c>
    </row>
    <row r="286" spans="1:9" s="131" customFormat="1" x14ac:dyDescent="0.25">
      <c r="A286" s="192"/>
      <c r="B286" s="218" t="s">
        <v>538</v>
      </c>
      <c r="C286" s="217"/>
      <c r="D286" s="217" t="s">
        <v>418</v>
      </c>
      <c r="E286" s="163">
        <f>'Rekapitulacija Posebni dio'!C53</f>
        <v>0</v>
      </c>
      <c r="F286" s="163">
        <f>'Rekapitulacija Posebni dio'!D53</f>
        <v>0</v>
      </c>
      <c r="G286" s="163">
        <f>'Rekapitulacija Posebni dio'!E53</f>
        <v>1500</v>
      </c>
      <c r="H286" s="163">
        <f>'Rekapitulacija Posebni dio'!F53</f>
        <v>1800</v>
      </c>
      <c r="I286" s="163">
        <f>'Rekapitulacija Posebni dio'!G53</f>
        <v>2200</v>
      </c>
    </row>
    <row r="287" spans="1:9" s="131" customFormat="1" x14ac:dyDescent="0.25">
      <c r="A287" s="192"/>
      <c r="B287" s="152" t="s">
        <v>116</v>
      </c>
      <c r="C287" s="192"/>
      <c r="D287" s="192" t="s">
        <v>117</v>
      </c>
      <c r="E287" s="155">
        <f t="shared" ref="E287" si="140">SUM(E288:E292)</f>
        <v>0</v>
      </c>
      <c r="F287" s="155">
        <f t="shared" ref="F287:I287" si="141">SUM(F288:F292)</f>
        <v>0</v>
      </c>
      <c r="G287" s="155">
        <f>SUM(G288:G292)</f>
        <v>2806455</v>
      </c>
      <c r="H287" s="155">
        <f t="shared" si="141"/>
        <v>2832990.29</v>
      </c>
      <c r="I287" s="155">
        <f t="shared" si="141"/>
        <v>2856994.88</v>
      </c>
    </row>
    <row r="288" spans="1:9" s="131" customFormat="1" hidden="1" x14ac:dyDescent="0.25">
      <c r="A288" s="192"/>
      <c r="B288" s="218" t="s">
        <v>497</v>
      </c>
      <c r="C288" s="217"/>
      <c r="D288" s="217" t="s">
        <v>419</v>
      </c>
      <c r="E288" s="163">
        <f>'Rekapitulacija Posebni dio'!C55</f>
        <v>0</v>
      </c>
      <c r="F288" s="163">
        <f>'Rekapitulacija Posebni dio'!D55</f>
        <v>0</v>
      </c>
      <c r="G288" s="163">
        <f>'Rekapitulacija Posebni dio'!E55</f>
        <v>0</v>
      </c>
      <c r="H288" s="163">
        <f>'Rekapitulacija Posebni dio'!F55</f>
        <v>0</v>
      </c>
      <c r="I288" s="163">
        <f>'Rekapitulacija Posebni dio'!G55</f>
        <v>0</v>
      </c>
    </row>
    <row r="289" spans="1:9" s="131" customFormat="1" x14ac:dyDescent="0.25">
      <c r="A289" s="192"/>
      <c r="B289" s="218" t="s">
        <v>596</v>
      </c>
      <c r="C289" s="217"/>
      <c r="D289" s="217" t="s">
        <v>598</v>
      </c>
      <c r="E289" s="163">
        <f>'Rekapitulacija Posebni dio'!C56</f>
        <v>0</v>
      </c>
      <c r="F289" s="163">
        <f>'Rekapitulacija Posebni dio'!D56</f>
        <v>0</v>
      </c>
      <c r="G289" s="163">
        <f>'Rekapitulacija Posebni dio'!E56</f>
        <v>12000</v>
      </c>
      <c r="H289" s="163">
        <f>'Rekapitulacija Posebni dio'!F56</f>
        <v>13000</v>
      </c>
      <c r="I289" s="163">
        <f>'Rekapitulacija Posebni dio'!G56</f>
        <v>14000</v>
      </c>
    </row>
    <row r="290" spans="1:9" s="131" customFormat="1" x14ac:dyDescent="0.25">
      <c r="A290" s="192"/>
      <c r="B290" s="218" t="s">
        <v>597</v>
      </c>
      <c r="C290" s="217"/>
      <c r="D290" s="217" t="s">
        <v>599</v>
      </c>
      <c r="E290" s="163">
        <f>'Rekapitulacija Posebni dio'!C57</f>
        <v>0</v>
      </c>
      <c r="F290" s="163">
        <f>'Rekapitulacija Posebni dio'!D57</f>
        <v>0</v>
      </c>
      <c r="G290" s="163">
        <f>'Rekapitulacija Posebni dio'!E57</f>
        <v>2794455</v>
      </c>
      <c r="H290" s="163">
        <f>'Rekapitulacija Posebni dio'!F57</f>
        <v>2819990.29</v>
      </c>
      <c r="I290" s="163">
        <f>'Rekapitulacija Posebni dio'!G57</f>
        <v>2842994.88</v>
      </c>
    </row>
    <row r="291" spans="1:9" s="131" customFormat="1" hidden="1" x14ac:dyDescent="0.25">
      <c r="A291" s="192"/>
      <c r="B291" s="218" t="s">
        <v>498</v>
      </c>
      <c r="C291" s="217"/>
      <c r="D291" s="217" t="s">
        <v>420</v>
      </c>
      <c r="E291" s="163">
        <f>'Rekapitulacija Posebni dio'!C58</f>
        <v>0</v>
      </c>
      <c r="F291" s="163">
        <f>'Rekapitulacija Posebni dio'!D58</f>
        <v>0</v>
      </c>
      <c r="G291" s="163">
        <f>'Rekapitulacija Posebni dio'!E58</f>
        <v>0</v>
      </c>
      <c r="H291" s="163">
        <f>'Rekapitulacija Posebni dio'!F58</f>
        <v>0</v>
      </c>
      <c r="I291" s="163">
        <f>'Rekapitulacija Posebni dio'!G58</f>
        <v>0</v>
      </c>
    </row>
    <row r="292" spans="1:9" s="131" customFormat="1" hidden="1" x14ac:dyDescent="0.25">
      <c r="A292" s="192"/>
      <c r="B292" s="218" t="s">
        <v>499</v>
      </c>
      <c r="C292" s="192"/>
      <c r="D292" s="217" t="s">
        <v>539</v>
      </c>
      <c r="E292" s="163">
        <f>'Rekapitulacija Posebni dio'!C59</f>
        <v>0</v>
      </c>
      <c r="F292" s="163">
        <f>'Rekapitulacija Posebni dio'!D59</f>
        <v>0</v>
      </c>
      <c r="G292" s="163">
        <f>'Rekapitulacija Posebni dio'!E59</f>
        <v>0</v>
      </c>
      <c r="H292" s="163">
        <f>'Rekapitulacija Posebni dio'!F59</f>
        <v>0</v>
      </c>
      <c r="I292" s="163">
        <f>'Rekapitulacija Posebni dio'!G59</f>
        <v>0</v>
      </c>
    </row>
    <row r="293" spans="1:9" s="131" customFormat="1" x14ac:dyDescent="0.25">
      <c r="A293" s="192"/>
      <c r="B293" s="152" t="s">
        <v>118</v>
      </c>
      <c r="C293" s="192"/>
      <c r="D293" s="192" t="s">
        <v>119</v>
      </c>
      <c r="E293" s="155">
        <f t="shared" ref="E293" si="142">SUM(E294:E297)</f>
        <v>0</v>
      </c>
      <c r="F293" s="155">
        <f t="shared" ref="F293:I293" si="143">SUM(F294:F297)</f>
        <v>0</v>
      </c>
      <c r="G293" s="155">
        <f>SUM(G294:G297)</f>
        <v>321000</v>
      </c>
      <c r="H293" s="155">
        <f t="shared" si="143"/>
        <v>329300</v>
      </c>
      <c r="I293" s="155">
        <f t="shared" si="143"/>
        <v>337600</v>
      </c>
    </row>
    <row r="294" spans="1:9" s="131" customFormat="1" x14ac:dyDescent="0.25">
      <c r="A294" s="192"/>
      <c r="B294" s="218" t="s">
        <v>500</v>
      </c>
      <c r="C294" s="192"/>
      <c r="D294" s="217" t="s">
        <v>423</v>
      </c>
      <c r="E294" s="163">
        <f>'Rekapitulacija Posebni dio'!C61</f>
        <v>0</v>
      </c>
      <c r="F294" s="163">
        <f>'Rekapitulacija Posebni dio'!D61</f>
        <v>0</v>
      </c>
      <c r="G294" s="163">
        <f>'Rekapitulacija Posebni dio'!E61</f>
        <v>142000</v>
      </c>
      <c r="H294" s="163">
        <f>'Rekapitulacija Posebni dio'!F61</f>
        <v>144000</v>
      </c>
      <c r="I294" s="163">
        <f>'Rekapitulacija Posebni dio'!G61</f>
        <v>146000</v>
      </c>
    </row>
    <row r="295" spans="1:9" s="131" customFormat="1" x14ac:dyDescent="0.25">
      <c r="A295" s="192"/>
      <c r="B295" s="218" t="s">
        <v>501</v>
      </c>
      <c r="C295" s="192"/>
      <c r="D295" s="217" t="s">
        <v>424</v>
      </c>
      <c r="E295" s="163">
        <f>'Rekapitulacija Posebni dio'!C62</f>
        <v>0</v>
      </c>
      <c r="F295" s="163">
        <f>'Rekapitulacija Posebni dio'!D62</f>
        <v>0</v>
      </c>
      <c r="G295" s="163">
        <f>'Rekapitulacija Posebni dio'!E62</f>
        <v>2200</v>
      </c>
      <c r="H295" s="163">
        <f>'Rekapitulacija Posebni dio'!F62</f>
        <v>2500</v>
      </c>
      <c r="I295" s="163">
        <f>'Rekapitulacija Posebni dio'!G62</f>
        <v>2800</v>
      </c>
    </row>
    <row r="296" spans="1:9" s="131" customFormat="1" x14ac:dyDescent="0.25">
      <c r="A296" s="192"/>
      <c r="B296" s="218" t="s">
        <v>502</v>
      </c>
      <c r="C296" s="192"/>
      <c r="D296" s="217" t="s">
        <v>425</v>
      </c>
      <c r="E296" s="163">
        <f>'Rekapitulacija Posebni dio'!C63</f>
        <v>0</v>
      </c>
      <c r="F296" s="163">
        <f>'Rekapitulacija Posebni dio'!D63</f>
        <v>0</v>
      </c>
      <c r="G296" s="163">
        <f>'Rekapitulacija Posebni dio'!E63</f>
        <v>135000</v>
      </c>
      <c r="H296" s="163">
        <f>'Rekapitulacija Posebni dio'!F63</f>
        <v>140000</v>
      </c>
      <c r="I296" s="163">
        <f>'Rekapitulacija Posebni dio'!G63</f>
        <v>145000</v>
      </c>
    </row>
    <row r="297" spans="1:9" s="131" customFormat="1" x14ac:dyDescent="0.25">
      <c r="A297" s="192"/>
      <c r="B297" s="218" t="s">
        <v>503</v>
      </c>
      <c r="C297" s="192"/>
      <c r="D297" s="217" t="s">
        <v>422</v>
      </c>
      <c r="E297" s="163">
        <f>'Rekapitulacija Posebni dio'!C64</f>
        <v>0</v>
      </c>
      <c r="F297" s="163">
        <f>'Rekapitulacija Posebni dio'!D64</f>
        <v>0</v>
      </c>
      <c r="G297" s="163">
        <f>'Rekapitulacija Posebni dio'!E64</f>
        <v>41800</v>
      </c>
      <c r="H297" s="163">
        <f>'Rekapitulacija Posebni dio'!F64</f>
        <v>42800</v>
      </c>
      <c r="I297" s="163">
        <f>'Rekapitulacija Posebni dio'!G64</f>
        <v>43800</v>
      </c>
    </row>
    <row r="298" spans="1:9" s="131" customFormat="1" x14ac:dyDescent="0.25">
      <c r="A298" s="192"/>
      <c r="B298" s="152" t="s">
        <v>120</v>
      </c>
      <c r="C298" s="192"/>
      <c r="D298" s="226" t="s">
        <v>121</v>
      </c>
      <c r="E298" s="155">
        <f t="shared" ref="E298" si="144">SUM(E299:E302)</f>
        <v>0</v>
      </c>
      <c r="F298" s="155">
        <f t="shared" ref="F298:I298" si="145">SUM(F299:F302)</f>
        <v>0</v>
      </c>
      <c r="G298" s="155">
        <f>SUM(G299:G302)</f>
        <v>15050</v>
      </c>
      <c r="H298" s="155">
        <f t="shared" si="145"/>
        <v>16800</v>
      </c>
      <c r="I298" s="155">
        <f t="shared" si="145"/>
        <v>18550</v>
      </c>
    </row>
    <row r="299" spans="1:9" s="131" customFormat="1" x14ac:dyDescent="0.25">
      <c r="A299" s="192"/>
      <c r="B299" s="218" t="s">
        <v>540</v>
      </c>
      <c r="C299" s="192"/>
      <c r="D299" s="331" t="s">
        <v>426</v>
      </c>
      <c r="E299" s="163">
        <f>'Rekapitulacija Posebni dio'!C66</f>
        <v>0</v>
      </c>
      <c r="F299" s="163">
        <f>'Rekapitulacija Posebni dio'!D66</f>
        <v>0</v>
      </c>
      <c r="G299" s="163">
        <f>'Rekapitulacija Posebni dio'!E66</f>
        <v>2500</v>
      </c>
      <c r="H299" s="163">
        <f>'Rekapitulacija Posebni dio'!F66</f>
        <v>3000</v>
      </c>
      <c r="I299" s="163">
        <f>'Rekapitulacija Posebni dio'!G66</f>
        <v>3500</v>
      </c>
    </row>
    <row r="300" spans="1:9" s="131" customFormat="1" x14ac:dyDescent="0.25">
      <c r="A300" s="192"/>
      <c r="B300" s="218" t="s">
        <v>541</v>
      </c>
      <c r="C300" s="192"/>
      <c r="D300" s="331" t="s">
        <v>428</v>
      </c>
      <c r="E300" s="163">
        <f>'Rekapitulacija Posebni dio'!C67</f>
        <v>0</v>
      </c>
      <c r="F300" s="163">
        <f>'Rekapitulacija Posebni dio'!D67</f>
        <v>0</v>
      </c>
      <c r="G300" s="163">
        <f>'Rekapitulacija Posebni dio'!E67</f>
        <v>2750</v>
      </c>
      <c r="H300" s="163">
        <f>'Rekapitulacija Posebni dio'!F67</f>
        <v>3000</v>
      </c>
      <c r="I300" s="163">
        <f>'Rekapitulacija Posebni dio'!G67</f>
        <v>3250</v>
      </c>
    </row>
    <row r="301" spans="1:9" s="131" customFormat="1" x14ac:dyDescent="0.25">
      <c r="A301" s="192"/>
      <c r="B301" s="218" t="s">
        <v>542</v>
      </c>
      <c r="C301" s="192"/>
      <c r="D301" s="331" t="s">
        <v>427</v>
      </c>
      <c r="E301" s="163">
        <f>'Rekapitulacija Posebni dio'!C68</f>
        <v>0</v>
      </c>
      <c r="F301" s="163">
        <f>'Rekapitulacija Posebni dio'!D68</f>
        <v>0</v>
      </c>
      <c r="G301" s="163">
        <f>'Rekapitulacija Posebni dio'!E68</f>
        <v>6500</v>
      </c>
      <c r="H301" s="163">
        <f>'Rekapitulacija Posebni dio'!F68</f>
        <v>7000</v>
      </c>
      <c r="I301" s="163">
        <f>'Rekapitulacija Posebni dio'!G68</f>
        <v>7500</v>
      </c>
    </row>
    <row r="302" spans="1:9" s="131" customFormat="1" x14ac:dyDescent="0.25">
      <c r="A302" s="192"/>
      <c r="B302" s="218" t="s">
        <v>543</v>
      </c>
      <c r="C302" s="192"/>
      <c r="D302" s="332" t="s">
        <v>429</v>
      </c>
      <c r="E302" s="163">
        <f>'Rekapitulacija Posebni dio'!C69</f>
        <v>0</v>
      </c>
      <c r="F302" s="163">
        <f>'Rekapitulacija Posebni dio'!D69</f>
        <v>0</v>
      </c>
      <c r="G302" s="163">
        <f>'Rekapitulacija Posebni dio'!E69</f>
        <v>3300</v>
      </c>
      <c r="H302" s="163">
        <f>'Rekapitulacija Posebni dio'!F69</f>
        <v>3800</v>
      </c>
      <c r="I302" s="163">
        <f>'Rekapitulacija Posebni dio'!G69</f>
        <v>4300</v>
      </c>
    </row>
    <row r="303" spans="1:9" s="131" customFormat="1" x14ac:dyDescent="0.25">
      <c r="A303" s="192"/>
      <c r="B303" s="152" t="s">
        <v>122</v>
      </c>
      <c r="C303" s="192"/>
      <c r="D303" s="226" t="s">
        <v>123</v>
      </c>
      <c r="E303" s="155">
        <f>SUM(E304:E305)</f>
        <v>0</v>
      </c>
      <c r="F303" s="155">
        <f t="shared" ref="F303:I303" si="146">SUM(F304:F305)</f>
        <v>0</v>
      </c>
      <c r="G303" s="155">
        <f>SUM(G304:G305)</f>
        <v>9500</v>
      </c>
      <c r="H303" s="155">
        <f t="shared" si="146"/>
        <v>12000</v>
      </c>
      <c r="I303" s="155">
        <f t="shared" si="146"/>
        <v>14500</v>
      </c>
    </row>
    <row r="304" spans="1:9" s="131" customFormat="1" x14ac:dyDescent="0.25">
      <c r="A304" s="192"/>
      <c r="B304" s="218" t="s">
        <v>504</v>
      </c>
      <c r="C304" s="192"/>
      <c r="D304" s="224" t="s">
        <v>601</v>
      </c>
      <c r="E304" s="163">
        <f>'Rekapitulacija Posebni dio'!C71</f>
        <v>0</v>
      </c>
      <c r="F304" s="163">
        <f>'Rekapitulacija Posebni dio'!D71</f>
        <v>0</v>
      </c>
      <c r="G304" s="163">
        <f>'Rekapitulacija Posebni dio'!E71</f>
        <v>8000</v>
      </c>
      <c r="H304" s="163">
        <f>'Rekapitulacija Posebni dio'!F71</f>
        <v>10000</v>
      </c>
      <c r="I304" s="163">
        <f>'Rekapitulacija Posebni dio'!G71</f>
        <v>12000</v>
      </c>
    </row>
    <row r="305" spans="1:9" s="131" customFormat="1" x14ac:dyDescent="0.25">
      <c r="A305" s="192"/>
      <c r="B305" s="218" t="s">
        <v>600</v>
      </c>
      <c r="C305" s="192"/>
      <c r="D305" s="224" t="s">
        <v>602</v>
      </c>
      <c r="E305" s="163">
        <f>'Rekapitulacija Posebni dio'!C72</f>
        <v>0</v>
      </c>
      <c r="F305" s="163">
        <f>'Rekapitulacija Posebni dio'!D72</f>
        <v>0</v>
      </c>
      <c r="G305" s="163">
        <f>'Rekapitulacija Posebni dio'!E72</f>
        <v>1500</v>
      </c>
      <c r="H305" s="163">
        <f>'Rekapitulacija Posebni dio'!F72</f>
        <v>2000</v>
      </c>
      <c r="I305" s="163">
        <f>'Rekapitulacija Posebni dio'!G72</f>
        <v>2500</v>
      </c>
    </row>
    <row r="306" spans="1:9" s="131" customFormat="1" x14ac:dyDescent="0.25">
      <c r="A306" s="192"/>
      <c r="B306" s="152" t="s">
        <v>124</v>
      </c>
      <c r="C306" s="192"/>
      <c r="D306" s="226" t="s">
        <v>125</v>
      </c>
      <c r="E306" s="155">
        <f t="shared" ref="E306:I306" si="147">SUM(E307)</f>
        <v>0</v>
      </c>
      <c r="F306" s="155">
        <f t="shared" si="147"/>
        <v>0</v>
      </c>
      <c r="G306" s="155">
        <f t="shared" si="147"/>
        <v>5500</v>
      </c>
      <c r="H306" s="155">
        <f t="shared" si="147"/>
        <v>6500</v>
      </c>
      <c r="I306" s="155">
        <f t="shared" si="147"/>
        <v>7500</v>
      </c>
    </row>
    <row r="307" spans="1:9" s="131" customFormat="1" x14ac:dyDescent="0.25">
      <c r="A307" s="192"/>
      <c r="B307" s="218" t="s">
        <v>505</v>
      </c>
      <c r="C307" s="192"/>
      <c r="D307" s="224" t="s">
        <v>125</v>
      </c>
      <c r="E307" s="163">
        <f>'Rekapitulacija Posebni dio'!C74</f>
        <v>0</v>
      </c>
      <c r="F307" s="163">
        <f>'Rekapitulacija Posebni dio'!D74</f>
        <v>0</v>
      </c>
      <c r="G307" s="163">
        <f>'Rekapitulacija Posebni dio'!E74</f>
        <v>5500</v>
      </c>
      <c r="H307" s="163">
        <f>'Rekapitulacija Posebni dio'!F74</f>
        <v>6500</v>
      </c>
      <c r="I307" s="163">
        <f>'Rekapitulacija Posebni dio'!G74</f>
        <v>7500</v>
      </c>
    </row>
    <row r="308" spans="1:9" s="131" customFormat="1" x14ac:dyDescent="0.25">
      <c r="A308" s="192"/>
      <c r="B308" s="152" t="s">
        <v>126</v>
      </c>
      <c r="C308" s="192"/>
      <c r="D308" s="226" t="s">
        <v>127</v>
      </c>
      <c r="E308" s="155">
        <f t="shared" ref="E308" si="148">E309+E313+E318+E320+E329+E333+E338+E343+E345</f>
        <v>0</v>
      </c>
      <c r="F308" s="155">
        <f t="shared" ref="F308:I308" si="149">F309+F313+F318+F320+F329+F333+F338+F343+F345</f>
        <v>0</v>
      </c>
      <c r="G308" s="155">
        <f t="shared" si="149"/>
        <v>1067396.33</v>
      </c>
      <c r="H308" s="155">
        <f t="shared" si="149"/>
        <v>1105996.33</v>
      </c>
      <c r="I308" s="155">
        <f t="shared" si="149"/>
        <v>1144696.33</v>
      </c>
    </row>
    <row r="309" spans="1:9" s="131" customFormat="1" x14ac:dyDescent="0.25">
      <c r="A309" s="192"/>
      <c r="B309" s="152" t="s">
        <v>128</v>
      </c>
      <c r="C309" s="192"/>
      <c r="D309" s="333" t="s">
        <v>129</v>
      </c>
      <c r="E309" s="155">
        <f>SUM(E310:E312)</f>
        <v>0</v>
      </c>
      <c r="F309" s="155">
        <f t="shared" ref="F309:I309" si="150">SUM(F310:F312)</f>
        <v>0</v>
      </c>
      <c r="G309" s="155">
        <f>SUM(G310:G312)</f>
        <v>46350</v>
      </c>
      <c r="H309" s="155">
        <f t="shared" si="150"/>
        <v>48800</v>
      </c>
      <c r="I309" s="155">
        <f t="shared" si="150"/>
        <v>51350</v>
      </c>
    </row>
    <row r="310" spans="1:9" s="131" customFormat="1" x14ac:dyDescent="0.25">
      <c r="A310" s="192"/>
      <c r="B310" s="218" t="s">
        <v>506</v>
      </c>
      <c r="C310" s="192"/>
      <c r="D310" s="332" t="s">
        <v>430</v>
      </c>
      <c r="E310" s="163">
        <f>'Rekapitulacija Posebni dio'!C77</f>
        <v>0</v>
      </c>
      <c r="F310" s="163">
        <f>'Rekapitulacija Posebni dio'!D77</f>
        <v>0</v>
      </c>
      <c r="G310" s="163">
        <f>'Rekapitulacija Posebni dio'!E77</f>
        <v>43000</v>
      </c>
      <c r="H310" s="163">
        <f>'Rekapitulacija Posebni dio'!F77</f>
        <v>45000</v>
      </c>
      <c r="I310" s="163">
        <f>'Rekapitulacija Posebni dio'!G77</f>
        <v>47000</v>
      </c>
    </row>
    <row r="311" spans="1:9" s="131" customFormat="1" x14ac:dyDescent="0.25">
      <c r="A311" s="192"/>
      <c r="B311" s="218" t="s">
        <v>507</v>
      </c>
      <c r="C311" s="192"/>
      <c r="D311" s="332" t="s">
        <v>431</v>
      </c>
      <c r="E311" s="163">
        <f>'Rekapitulacija Posebni dio'!C78</f>
        <v>0</v>
      </c>
      <c r="F311" s="163">
        <f>'Rekapitulacija Posebni dio'!D78</f>
        <v>0</v>
      </c>
      <c r="G311" s="163">
        <f>'Rekapitulacija Posebni dio'!E78</f>
        <v>1500</v>
      </c>
      <c r="H311" s="163">
        <f>'Rekapitulacija Posebni dio'!F78</f>
        <v>1800</v>
      </c>
      <c r="I311" s="163">
        <f>'Rekapitulacija Posebni dio'!G78</f>
        <v>2100</v>
      </c>
    </row>
    <row r="312" spans="1:9" s="131" customFormat="1" x14ac:dyDescent="0.25">
      <c r="A312" s="192"/>
      <c r="B312" s="218" t="s">
        <v>565</v>
      </c>
      <c r="C312" s="192"/>
      <c r="D312" s="332" t="s">
        <v>566</v>
      </c>
      <c r="E312" s="163">
        <f>'Rekapitulacija Posebni dio'!C79</f>
        <v>0</v>
      </c>
      <c r="F312" s="163">
        <f>'Rekapitulacija Posebni dio'!D79</f>
        <v>0</v>
      </c>
      <c r="G312" s="163">
        <f>'Rekapitulacija Posebni dio'!E79</f>
        <v>1850</v>
      </c>
      <c r="H312" s="163">
        <f>'Rekapitulacija Posebni dio'!F79</f>
        <v>2000</v>
      </c>
      <c r="I312" s="163">
        <f>'Rekapitulacija Posebni dio'!G79</f>
        <v>2250</v>
      </c>
    </row>
    <row r="313" spans="1:9" s="131" customFormat="1" x14ac:dyDescent="0.25">
      <c r="A313" s="192"/>
      <c r="B313" s="152" t="s">
        <v>130</v>
      </c>
      <c r="C313" s="192"/>
      <c r="D313" s="226" t="s">
        <v>131</v>
      </c>
      <c r="E313" s="155">
        <f>SUM(E314:E317)</f>
        <v>0</v>
      </c>
      <c r="F313" s="155">
        <f t="shared" ref="F313:I313" si="151">SUM(F314:F317)</f>
        <v>0</v>
      </c>
      <c r="G313" s="155">
        <f>SUM(G314:G317)</f>
        <v>29500</v>
      </c>
      <c r="H313" s="155">
        <f t="shared" si="151"/>
        <v>35500</v>
      </c>
      <c r="I313" s="155">
        <f t="shared" si="151"/>
        <v>41500</v>
      </c>
    </row>
    <row r="314" spans="1:9" s="131" customFormat="1" x14ac:dyDescent="0.25">
      <c r="A314" s="192"/>
      <c r="B314" s="218" t="s">
        <v>528</v>
      </c>
      <c r="C314" s="192"/>
      <c r="D314" s="332" t="s">
        <v>433</v>
      </c>
      <c r="E314" s="163">
        <f>'Rekapitulacija Posebni dio'!C81</f>
        <v>0</v>
      </c>
      <c r="F314" s="163">
        <f>'Rekapitulacija Posebni dio'!D81</f>
        <v>0</v>
      </c>
      <c r="G314" s="163">
        <f>'Rekapitulacija Posebni dio'!E81</f>
        <v>10000</v>
      </c>
      <c r="H314" s="163">
        <f>'Rekapitulacija Posebni dio'!F81</f>
        <v>12000</v>
      </c>
      <c r="I314" s="163">
        <f>'Rekapitulacija Posebni dio'!G81</f>
        <v>14000</v>
      </c>
    </row>
    <row r="315" spans="1:9" s="131" customFormat="1" x14ac:dyDescent="0.25">
      <c r="A315" s="192"/>
      <c r="B315" s="218" t="s">
        <v>529</v>
      </c>
      <c r="C315" s="192"/>
      <c r="D315" s="332" t="s">
        <v>434</v>
      </c>
      <c r="E315" s="163">
        <f>'Rekapitulacija Posebni dio'!C82</f>
        <v>0</v>
      </c>
      <c r="F315" s="163">
        <f>'Rekapitulacija Posebni dio'!D82</f>
        <v>0</v>
      </c>
      <c r="G315" s="163">
        <f>'Rekapitulacija Posebni dio'!E82</f>
        <v>8000</v>
      </c>
      <c r="H315" s="163">
        <f>'Rekapitulacija Posebni dio'!F82</f>
        <v>10000</v>
      </c>
      <c r="I315" s="163">
        <f>'Rekapitulacija Posebni dio'!G82</f>
        <v>12000</v>
      </c>
    </row>
    <row r="316" spans="1:9" s="131" customFormat="1" x14ac:dyDescent="0.25">
      <c r="A316" s="192"/>
      <c r="B316" s="218" t="s">
        <v>530</v>
      </c>
      <c r="C316" s="192"/>
      <c r="D316" s="332" t="s">
        <v>432</v>
      </c>
      <c r="E316" s="163">
        <f>'Rekapitulacija Posebni dio'!C83</f>
        <v>0</v>
      </c>
      <c r="F316" s="163">
        <f>'Rekapitulacija Posebni dio'!D83</f>
        <v>0</v>
      </c>
      <c r="G316" s="163">
        <f>'Rekapitulacija Posebni dio'!E83</f>
        <v>6500</v>
      </c>
      <c r="H316" s="163">
        <f>'Rekapitulacija Posebni dio'!F83</f>
        <v>7500</v>
      </c>
      <c r="I316" s="163">
        <f>'Rekapitulacija Posebni dio'!G83</f>
        <v>8500</v>
      </c>
    </row>
    <row r="317" spans="1:9" s="131" customFormat="1" x14ac:dyDescent="0.25">
      <c r="A317" s="192"/>
      <c r="B317" s="218" t="s">
        <v>603</v>
      </c>
      <c r="C317" s="192"/>
      <c r="D317" s="332" t="s">
        <v>604</v>
      </c>
      <c r="E317" s="163">
        <f>'Rekapitulacija Posebni dio'!C84</f>
        <v>0</v>
      </c>
      <c r="F317" s="163">
        <f>'Rekapitulacija Posebni dio'!D84</f>
        <v>0</v>
      </c>
      <c r="G317" s="163">
        <f>'Rekapitulacija Posebni dio'!E84</f>
        <v>5000</v>
      </c>
      <c r="H317" s="163">
        <f>'Rekapitulacija Posebni dio'!F84</f>
        <v>6000</v>
      </c>
      <c r="I317" s="163">
        <f>'Rekapitulacija Posebni dio'!G84</f>
        <v>7000</v>
      </c>
    </row>
    <row r="318" spans="1:9" s="131" customFormat="1" x14ac:dyDescent="0.25">
      <c r="A318" s="192"/>
      <c r="B318" s="152" t="s">
        <v>132</v>
      </c>
      <c r="C318" s="192"/>
      <c r="D318" s="226" t="s">
        <v>133</v>
      </c>
      <c r="E318" s="155">
        <f t="shared" ref="E318:I318" si="152">SUM(E319)</f>
        <v>0</v>
      </c>
      <c r="F318" s="155">
        <f t="shared" si="152"/>
        <v>0</v>
      </c>
      <c r="G318" s="155">
        <f t="shared" si="152"/>
        <v>2663.61</v>
      </c>
      <c r="H318" s="155">
        <f t="shared" si="152"/>
        <v>2663.61</v>
      </c>
      <c r="I318" s="155">
        <f t="shared" si="152"/>
        <v>2663.61</v>
      </c>
    </row>
    <row r="319" spans="1:9" s="131" customFormat="1" x14ac:dyDescent="0.25">
      <c r="A319" s="192"/>
      <c r="B319" s="218" t="s">
        <v>508</v>
      </c>
      <c r="C319" s="192"/>
      <c r="D319" s="224" t="s">
        <v>133</v>
      </c>
      <c r="E319" s="163">
        <f>'Rekapitulacija Posebni dio'!C86</f>
        <v>0</v>
      </c>
      <c r="F319" s="163">
        <f>'Rekapitulacija Posebni dio'!D86</f>
        <v>0</v>
      </c>
      <c r="G319" s="163">
        <f>'Rekapitulacija Posebni dio'!E86</f>
        <v>2663.61</v>
      </c>
      <c r="H319" s="163">
        <f>'Rekapitulacija Posebni dio'!F86</f>
        <v>2663.61</v>
      </c>
      <c r="I319" s="163">
        <f>'Rekapitulacija Posebni dio'!G86</f>
        <v>2663.61</v>
      </c>
    </row>
    <row r="320" spans="1:9" s="131" customFormat="1" x14ac:dyDescent="0.25">
      <c r="A320" s="192"/>
      <c r="B320" s="174" t="s">
        <v>134</v>
      </c>
      <c r="C320" s="151"/>
      <c r="D320" s="228" t="s">
        <v>135</v>
      </c>
      <c r="E320" s="155">
        <f t="shared" ref="E320" si="153">SUM(E321:E328)</f>
        <v>0</v>
      </c>
      <c r="F320" s="155">
        <f t="shared" ref="F320:I320" si="154">SUM(F321:F328)</f>
        <v>0</v>
      </c>
      <c r="G320" s="155">
        <f>SUM(G321:G328)</f>
        <v>166650</v>
      </c>
      <c r="H320" s="155">
        <f t="shared" si="154"/>
        <v>175100</v>
      </c>
      <c r="I320" s="155">
        <f t="shared" si="154"/>
        <v>183550</v>
      </c>
    </row>
    <row r="321" spans="1:9" s="131" customFormat="1" x14ac:dyDescent="0.25">
      <c r="A321" s="192"/>
      <c r="B321" s="218" t="s">
        <v>544</v>
      </c>
      <c r="C321" s="192"/>
      <c r="D321" s="332" t="s">
        <v>436</v>
      </c>
      <c r="E321" s="163">
        <f>'Rekapitulacija Posebni dio'!C88</f>
        <v>0</v>
      </c>
      <c r="F321" s="163">
        <f>'Rekapitulacija Posebni dio'!D88</f>
        <v>0</v>
      </c>
      <c r="G321" s="163">
        <f>'Rekapitulacija Posebni dio'!E88</f>
        <v>44000</v>
      </c>
      <c r="H321" s="163">
        <f>'Rekapitulacija Posebni dio'!F88</f>
        <v>47000</v>
      </c>
      <c r="I321" s="163">
        <f>'Rekapitulacija Posebni dio'!G88</f>
        <v>50000</v>
      </c>
    </row>
    <row r="322" spans="1:9" s="131" customFormat="1" x14ac:dyDescent="0.25">
      <c r="A322" s="192"/>
      <c r="B322" s="218" t="s">
        <v>545</v>
      </c>
      <c r="C322" s="192"/>
      <c r="D322" s="332" t="s">
        <v>437</v>
      </c>
      <c r="E322" s="163">
        <f>'Rekapitulacija Posebni dio'!C89</f>
        <v>0</v>
      </c>
      <c r="F322" s="163">
        <f>'Rekapitulacija Posebni dio'!D89</f>
        <v>0</v>
      </c>
      <c r="G322" s="163">
        <f>'Rekapitulacija Posebni dio'!E89</f>
        <v>68000</v>
      </c>
      <c r="H322" s="163">
        <f>'Rekapitulacija Posebni dio'!F89</f>
        <v>70000</v>
      </c>
      <c r="I322" s="163">
        <f>'Rekapitulacija Posebni dio'!G89</f>
        <v>72000</v>
      </c>
    </row>
    <row r="323" spans="1:9" s="131" customFormat="1" x14ac:dyDescent="0.25">
      <c r="A323" s="192"/>
      <c r="B323" s="218" t="s">
        <v>546</v>
      </c>
      <c r="C323" s="192"/>
      <c r="D323" s="332" t="s">
        <v>438</v>
      </c>
      <c r="E323" s="163">
        <f>'Rekapitulacija Posebni dio'!C90</f>
        <v>0</v>
      </c>
      <c r="F323" s="163">
        <f>'Rekapitulacija Posebni dio'!D90</f>
        <v>0</v>
      </c>
      <c r="G323" s="163">
        <f>'Rekapitulacija Posebni dio'!E90</f>
        <v>2800</v>
      </c>
      <c r="H323" s="163">
        <f>'Rekapitulacija Posebni dio'!F90</f>
        <v>3300</v>
      </c>
      <c r="I323" s="163">
        <f>'Rekapitulacija Posebni dio'!G90</f>
        <v>3800</v>
      </c>
    </row>
    <row r="324" spans="1:9" s="131" customFormat="1" x14ac:dyDescent="0.25">
      <c r="A324" s="192"/>
      <c r="B324" s="218" t="s">
        <v>612</v>
      </c>
      <c r="C324" s="192"/>
      <c r="D324" s="332" t="s">
        <v>605</v>
      </c>
      <c r="E324" s="163">
        <f>'Rekapitulacija Posebni dio'!C91</f>
        <v>0</v>
      </c>
      <c r="F324" s="163">
        <f>'Rekapitulacija Posebni dio'!D91</f>
        <v>0</v>
      </c>
      <c r="G324" s="163">
        <f>'Rekapitulacija Posebni dio'!E91</f>
        <v>2000</v>
      </c>
      <c r="H324" s="163">
        <f>'Rekapitulacija Posebni dio'!F91</f>
        <v>2500</v>
      </c>
      <c r="I324" s="163">
        <f>'Rekapitulacija Posebni dio'!G91</f>
        <v>3000</v>
      </c>
    </row>
    <row r="325" spans="1:9" s="131" customFormat="1" x14ac:dyDescent="0.25">
      <c r="A325" s="192"/>
      <c r="B325" s="218" t="s">
        <v>606</v>
      </c>
      <c r="C325" s="192"/>
      <c r="D325" s="332" t="s">
        <v>609</v>
      </c>
      <c r="E325" s="163">
        <f>'Rekapitulacija Posebni dio'!C92</f>
        <v>0</v>
      </c>
      <c r="F325" s="163">
        <f>'Rekapitulacija Posebni dio'!D92</f>
        <v>0</v>
      </c>
      <c r="G325" s="163">
        <f>'Rekapitulacija Posebni dio'!E92</f>
        <v>9000</v>
      </c>
      <c r="H325" s="163">
        <f>'Rekapitulacija Posebni dio'!F92</f>
        <v>9400</v>
      </c>
      <c r="I325" s="163">
        <f>'Rekapitulacija Posebni dio'!G92</f>
        <v>9800</v>
      </c>
    </row>
    <row r="326" spans="1:9" s="131" customFormat="1" x14ac:dyDescent="0.25">
      <c r="A326" s="192"/>
      <c r="B326" s="218" t="s">
        <v>607</v>
      </c>
      <c r="C326" s="192"/>
      <c r="D326" s="332" t="s">
        <v>610</v>
      </c>
      <c r="E326" s="163">
        <f>'Rekapitulacija Posebni dio'!C93</f>
        <v>0</v>
      </c>
      <c r="F326" s="163">
        <f>'Rekapitulacija Posebni dio'!D93</f>
        <v>0</v>
      </c>
      <c r="G326" s="163">
        <f>'Rekapitulacija Posebni dio'!E93</f>
        <v>6000</v>
      </c>
      <c r="H326" s="163">
        <f>'Rekapitulacija Posebni dio'!F93</f>
        <v>6500</v>
      </c>
      <c r="I326" s="163">
        <f>'Rekapitulacija Posebni dio'!G93</f>
        <v>7000</v>
      </c>
    </row>
    <row r="327" spans="1:9" s="131" customFormat="1" x14ac:dyDescent="0.25">
      <c r="A327" s="192"/>
      <c r="B327" s="218" t="s">
        <v>608</v>
      </c>
      <c r="C327" s="192"/>
      <c r="D327" s="332" t="s">
        <v>611</v>
      </c>
      <c r="E327" s="163">
        <f>'Rekapitulacija Posebni dio'!C94</f>
        <v>0</v>
      </c>
      <c r="F327" s="163">
        <f>'Rekapitulacija Posebni dio'!D94</f>
        <v>0</v>
      </c>
      <c r="G327" s="163">
        <f>'Rekapitulacija Posebni dio'!E94</f>
        <v>150</v>
      </c>
      <c r="H327" s="163">
        <f>'Rekapitulacija Posebni dio'!F94</f>
        <v>200</v>
      </c>
      <c r="I327" s="163">
        <f>'Rekapitulacija Posebni dio'!G94</f>
        <v>250</v>
      </c>
    </row>
    <row r="328" spans="1:9" s="131" customFormat="1" x14ac:dyDescent="0.25">
      <c r="A328" s="192"/>
      <c r="B328" s="177">
        <v>32349</v>
      </c>
      <c r="C328" s="132"/>
      <c r="D328" s="334" t="s">
        <v>439</v>
      </c>
      <c r="E328" s="163">
        <f>'Rekapitulacija Posebni dio'!C95</f>
        <v>0</v>
      </c>
      <c r="F328" s="163">
        <f>'Rekapitulacija Posebni dio'!D95</f>
        <v>0</v>
      </c>
      <c r="G328" s="163">
        <f>'Rekapitulacija Posebni dio'!E95</f>
        <v>34700</v>
      </c>
      <c r="H328" s="163">
        <f>'Rekapitulacija Posebni dio'!F95</f>
        <v>36200</v>
      </c>
      <c r="I328" s="163">
        <f>'Rekapitulacija Posebni dio'!G95</f>
        <v>37700</v>
      </c>
    </row>
    <row r="329" spans="1:9" s="131" customFormat="1" x14ac:dyDescent="0.25">
      <c r="A329" s="192"/>
      <c r="B329" s="174">
        <v>3235</v>
      </c>
      <c r="C329" s="151"/>
      <c r="D329" s="228" t="s">
        <v>136</v>
      </c>
      <c r="E329" s="155">
        <f>SUM(E330:E332)</f>
        <v>0</v>
      </c>
      <c r="F329" s="155">
        <f t="shared" ref="F329:I329" si="155">SUM(F330:F332)</f>
        <v>0</v>
      </c>
      <c r="G329" s="155">
        <f t="shared" si="155"/>
        <v>7832.72</v>
      </c>
      <c r="H329" s="155">
        <f t="shared" si="155"/>
        <v>8232.7199999999993</v>
      </c>
      <c r="I329" s="155">
        <f t="shared" si="155"/>
        <v>8632.7199999999993</v>
      </c>
    </row>
    <row r="330" spans="1:9" s="118" customFormat="1" x14ac:dyDescent="0.25">
      <c r="A330" s="217"/>
      <c r="B330" s="177">
        <v>32353</v>
      </c>
      <c r="C330" s="132"/>
      <c r="D330" s="227" t="s">
        <v>613</v>
      </c>
      <c r="E330" s="163">
        <f>'Rekapitulacija Posebni dio'!C97</f>
        <v>0</v>
      </c>
      <c r="F330" s="163">
        <f>'Rekapitulacija Posebni dio'!D97</f>
        <v>0</v>
      </c>
      <c r="G330" s="163">
        <f>'Rekapitulacija Posebni dio'!E97</f>
        <v>1800</v>
      </c>
      <c r="H330" s="163">
        <f>'Rekapitulacija Posebni dio'!F97</f>
        <v>2000</v>
      </c>
      <c r="I330" s="163">
        <f>'Rekapitulacija Posebni dio'!G97</f>
        <v>2200</v>
      </c>
    </row>
    <row r="331" spans="1:9" s="118" customFormat="1" x14ac:dyDescent="0.25">
      <c r="A331" s="217"/>
      <c r="B331" s="177">
        <v>32354</v>
      </c>
      <c r="C331" s="132"/>
      <c r="D331" s="227" t="s">
        <v>614</v>
      </c>
      <c r="E331" s="163">
        <f>'Rekapitulacija Posebni dio'!C98</f>
        <v>0</v>
      </c>
      <c r="F331" s="163">
        <f>'Rekapitulacija Posebni dio'!D98</f>
        <v>0</v>
      </c>
      <c r="G331" s="163">
        <f>'Rekapitulacija Posebni dio'!E98</f>
        <v>5700</v>
      </c>
      <c r="H331" s="163">
        <f>'Rekapitulacija Posebni dio'!F98</f>
        <v>5900</v>
      </c>
      <c r="I331" s="163">
        <f>'Rekapitulacija Posebni dio'!G98</f>
        <v>6100</v>
      </c>
    </row>
    <row r="332" spans="1:9" s="131" customFormat="1" x14ac:dyDescent="0.25">
      <c r="A332" s="192"/>
      <c r="B332" s="177">
        <v>32359</v>
      </c>
      <c r="C332" s="132"/>
      <c r="D332" s="227" t="s">
        <v>136</v>
      </c>
      <c r="E332" s="163">
        <f>'Rekapitulacija Posebni dio'!C99</f>
        <v>0</v>
      </c>
      <c r="F332" s="163">
        <f>'Rekapitulacija Posebni dio'!D99</f>
        <v>0</v>
      </c>
      <c r="G332" s="163">
        <f>'Rekapitulacija Posebni dio'!E99</f>
        <v>332.72</v>
      </c>
      <c r="H332" s="163">
        <f>'Rekapitulacija Posebni dio'!F99</f>
        <v>332.72</v>
      </c>
      <c r="I332" s="163">
        <f>'Rekapitulacija Posebni dio'!G99</f>
        <v>332.72</v>
      </c>
    </row>
    <row r="333" spans="1:9" s="131" customFormat="1" x14ac:dyDescent="0.25">
      <c r="A333" s="192"/>
      <c r="B333" s="174">
        <v>3236</v>
      </c>
      <c r="C333" s="151"/>
      <c r="D333" s="228" t="s">
        <v>137</v>
      </c>
      <c r="E333" s="155">
        <f>SUM(E334:E337)</f>
        <v>0</v>
      </c>
      <c r="F333" s="155">
        <f t="shared" ref="F333:I333" si="156">SUM(F334:F337)</f>
        <v>0</v>
      </c>
      <c r="G333" s="155">
        <f>SUM(G334:G337)</f>
        <v>463000</v>
      </c>
      <c r="H333" s="155">
        <f t="shared" si="156"/>
        <v>471500</v>
      </c>
      <c r="I333" s="155">
        <f t="shared" si="156"/>
        <v>480000</v>
      </c>
    </row>
    <row r="334" spans="1:9" s="118" customFormat="1" x14ac:dyDescent="0.25">
      <c r="A334" s="217"/>
      <c r="B334" s="177">
        <v>32361</v>
      </c>
      <c r="C334" s="132"/>
      <c r="D334" s="227" t="s">
        <v>617</v>
      </c>
      <c r="E334" s="163">
        <f>'Rekapitulacija Posebni dio'!C101</f>
        <v>0</v>
      </c>
      <c r="F334" s="163">
        <f>'Rekapitulacija Posebni dio'!D101</f>
        <v>0</v>
      </c>
      <c r="G334" s="163">
        <f>'Rekapitulacija Posebni dio'!E101</f>
        <v>4000</v>
      </c>
      <c r="H334" s="163">
        <f>'Rekapitulacija Posebni dio'!F101</f>
        <v>5000</v>
      </c>
      <c r="I334" s="163">
        <f>'Rekapitulacija Posebni dio'!G101</f>
        <v>6000</v>
      </c>
    </row>
    <row r="335" spans="1:9" s="118" customFormat="1" x14ac:dyDescent="0.25">
      <c r="A335" s="217"/>
      <c r="B335" s="177">
        <v>32362</v>
      </c>
      <c r="C335" s="132"/>
      <c r="D335" s="227" t="s">
        <v>616</v>
      </c>
      <c r="E335" s="163">
        <f>'Rekapitulacija Posebni dio'!C102</f>
        <v>0</v>
      </c>
      <c r="F335" s="163">
        <f>'Rekapitulacija Posebni dio'!D102</f>
        <v>0</v>
      </c>
      <c r="G335" s="163">
        <f>'Rekapitulacija Posebni dio'!E102</f>
        <v>2000</v>
      </c>
      <c r="H335" s="163">
        <f>'Rekapitulacija Posebni dio'!F102</f>
        <v>3000</v>
      </c>
      <c r="I335" s="163">
        <f>'Rekapitulacija Posebni dio'!G102</f>
        <v>4000</v>
      </c>
    </row>
    <row r="336" spans="1:9" s="118" customFormat="1" x14ac:dyDescent="0.25">
      <c r="A336" s="217"/>
      <c r="B336" s="177">
        <v>32363</v>
      </c>
      <c r="C336" s="132"/>
      <c r="D336" s="227" t="s">
        <v>615</v>
      </c>
      <c r="E336" s="163">
        <f>'Rekapitulacija Posebni dio'!C103</f>
        <v>0</v>
      </c>
      <c r="F336" s="163">
        <f>'Rekapitulacija Posebni dio'!D103</f>
        <v>0</v>
      </c>
      <c r="G336" s="163">
        <f>'Rekapitulacija Posebni dio'!E103</f>
        <v>30000</v>
      </c>
      <c r="H336" s="163">
        <f>'Rekapitulacija Posebni dio'!F103</f>
        <v>32500</v>
      </c>
      <c r="I336" s="163">
        <f>'Rekapitulacija Posebni dio'!G103</f>
        <v>35000</v>
      </c>
    </row>
    <row r="337" spans="1:9" s="118" customFormat="1" x14ac:dyDescent="0.25">
      <c r="A337" s="217"/>
      <c r="B337" s="177">
        <v>32369</v>
      </c>
      <c r="C337" s="132"/>
      <c r="D337" s="227" t="s">
        <v>137</v>
      </c>
      <c r="E337" s="163">
        <f>'Rekapitulacija Posebni dio'!C104</f>
        <v>0</v>
      </c>
      <c r="F337" s="163">
        <f>'Rekapitulacija Posebni dio'!D104</f>
        <v>0</v>
      </c>
      <c r="G337" s="163">
        <f>'Rekapitulacija Posebni dio'!E104</f>
        <v>427000</v>
      </c>
      <c r="H337" s="163">
        <f>'Rekapitulacija Posebni dio'!F104</f>
        <v>431000</v>
      </c>
      <c r="I337" s="163">
        <f>'Rekapitulacija Posebni dio'!G104</f>
        <v>435000</v>
      </c>
    </row>
    <row r="338" spans="1:9" s="131" customFormat="1" x14ac:dyDescent="0.25">
      <c r="A338" s="192"/>
      <c r="B338" s="174">
        <v>3237</v>
      </c>
      <c r="C338" s="151"/>
      <c r="D338" s="228" t="s">
        <v>138</v>
      </c>
      <c r="E338" s="155">
        <f>SUM(E339:E342)</f>
        <v>0</v>
      </c>
      <c r="F338" s="155">
        <f t="shared" ref="F338:I338" si="157">SUM(F339:F342)</f>
        <v>0</v>
      </c>
      <c r="G338" s="155">
        <f>SUM(G339:G342)</f>
        <v>295500</v>
      </c>
      <c r="H338" s="155">
        <f t="shared" si="157"/>
        <v>303000</v>
      </c>
      <c r="I338" s="155">
        <f t="shared" si="157"/>
        <v>310500</v>
      </c>
    </row>
    <row r="339" spans="1:9" s="131" customFormat="1" x14ac:dyDescent="0.25">
      <c r="A339" s="192"/>
      <c r="B339" s="177">
        <v>32372</v>
      </c>
      <c r="C339" s="132"/>
      <c r="D339" s="227" t="s">
        <v>442</v>
      </c>
      <c r="E339" s="163">
        <f>'Rekapitulacija Posebni dio'!C106</f>
        <v>0</v>
      </c>
      <c r="F339" s="163">
        <f>'Rekapitulacija Posebni dio'!D106</f>
        <v>0</v>
      </c>
      <c r="G339" s="163">
        <f>'Rekapitulacija Posebni dio'!E106</f>
        <v>260000</v>
      </c>
      <c r="H339" s="163">
        <f>'Rekapitulacija Posebni dio'!F106</f>
        <v>265000</v>
      </c>
      <c r="I339" s="163">
        <f>'Rekapitulacija Posebni dio'!G106</f>
        <v>270000</v>
      </c>
    </row>
    <row r="340" spans="1:9" s="131" customFormat="1" x14ac:dyDescent="0.25">
      <c r="A340" s="192"/>
      <c r="B340" s="177">
        <v>32373</v>
      </c>
      <c r="C340" s="132"/>
      <c r="D340" s="227" t="s">
        <v>547</v>
      </c>
      <c r="E340" s="163">
        <f>'Rekapitulacija Posebni dio'!C107</f>
        <v>0</v>
      </c>
      <c r="F340" s="163">
        <f>'Rekapitulacija Posebni dio'!D107</f>
        <v>0</v>
      </c>
      <c r="G340" s="163">
        <f>'Rekapitulacija Posebni dio'!E107</f>
        <v>25000</v>
      </c>
      <c r="H340" s="163">
        <f>'Rekapitulacija Posebni dio'!F107</f>
        <v>26500</v>
      </c>
      <c r="I340" s="163">
        <f>'Rekapitulacija Posebni dio'!G107</f>
        <v>28000</v>
      </c>
    </row>
    <row r="341" spans="1:9" s="131" customFormat="1" x14ac:dyDescent="0.25">
      <c r="A341" s="192"/>
      <c r="B341" s="177">
        <v>32375</v>
      </c>
      <c r="C341" s="132"/>
      <c r="D341" s="227" t="s">
        <v>567</v>
      </c>
      <c r="E341" s="163">
        <f>'Rekapitulacija Posebni dio'!C108</f>
        <v>0</v>
      </c>
      <c r="F341" s="163">
        <f>'Rekapitulacija Posebni dio'!D108</f>
        <v>0</v>
      </c>
      <c r="G341" s="163">
        <f>'Rekapitulacija Posebni dio'!E108</f>
        <v>1000</v>
      </c>
      <c r="H341" s="163">
        <f>'Rekapitulacija Posebni dio'!F108</f>
        <v>1000</v>
      </c>
      <c r="I341" s="163">
        <f>'Rekapitulacija Posebni dio'!G108</f>
        <v>1000</v>
      </c>
    </row>
    <row r="342" spans="1:9" s="131" customFormat="1" x14ac:dyDescent="0.25">
      <c r="A342" s="192"/>
      <c r="B342" s="177">
        <v>32379</v>
      </c>
      <c r="C342" s="132"/>
      <c r="D342" s="227" t="s">
        <v>509</v>
      </c>
      <c r="E342" s="163">
        <f>'Rekapitulacija Posebni dio'!C109</f>
        <v>0</v>
      </c>
      <c r="F342" s="163">
        <f>'Rekapitulacija Posebni dio'!D109</f>
        <v>0</v>
      </c>
      <c r="G342" s="163">
        <f>'Rekapitulacija Posebni dio'!E109</f>
        <v>9500</v>
      </c>
      <c r="H342" s="163">
        <f>'Rekapitulacija Posebni dio'!F109</f>
        <v>10500</v>
      </c>
      <c r="I342" s="163">
        <f>'Rekapitulacija Posebni dio'!G109</f>
        <v>11500</v>
      </c>
    </row>
    <row r="343" spans="1:9" s="131" customFormat="1" x14ac:dyDescent="0.25">
      <c r="A343" s="192"/>
      <c r="B343" s="174" t="s">
        <v>139</v>
      </c>
      <c r="C343" s="151"/>
      <c r="D343" s="228" t="s">
        <v>140</v>
      </c>
      <c r="E343" s="155">
        <f t="shared" ref="E343:I343" si="158">SUM(E344)</f>
        <v>0</v>
      </c>
      <c r="F343" s="155">
        <f t="shared" si="158"/>
        <v>0</v>
      </c>
      <c r="G343" s="155">
        <f t="shared" si="158"/>
        <v>3500</v>
      </c>
      <c r="H343" s="155">
        <f t="shared" si="158"/>
        <v>4500</v>
      </c>
      <c r="I343" s="155">
        <f t="shared" si="158"/>
        <v>5500</v>
      </c>
    </row>
    <row r="344" spans="1:9" s="131" customFormat="1" x14ac:dyDescent="0.25">
      <c r="A344" s="192"/>
      <c r="B344" s="177">
        <v>32389</v>
      </c>
      <c r="C344" s="132"/>
      <c r="D344" s="227" t="s">
        <v>140</v>
      </c>
      <c r="E344" s="163">
        <f>'Rekapitulacija Posebni dio'!C111</f>
        <v>0</v>
      </c>
      <c r="F344" s="163">
        <f>'Rekapitulacija Posebni dio'!D111</f>
        <v>0</v>
      </c>
      <c r="G344" s="163">
        <f>'Rekapitulacija Posebni dio'!E111</f>
        <v>3500</v>
      </c>
      <c r="H344" s="163">
        <f>'Rekapitulacija Posebni dio'!F111</f>
        <v>4500</v>
      </c>
      <c r="I344" s="163">
        <f>'Rekapitulacija Posebni dio'!G111</f>
        <v>5500</v>
      </c>
    </row>
    <row r="345" spans="1:9" s="131" customFormat="1" x14ac:dyDescent="0.25">
      <c r="A345" s="192"/>
      <c r="B345" s="174" t="s">
        <v>141</v>
      </c>
      <c r="C345" s="151"/>
      <c r="D345" s="228" t="s">
        <v>142</v>
      </c>
      <c r="E345" s="155">
        <f>SUM(E346:E349)</f>
        <v>0</v>
      </c>
      <c r="F345" s="155">
        <f t="shared" ref="F345:I345" si="159">SUM(F346:F349)</f>
        <v>0</v>
      </c>
      <c r="G345" s="155">
        <f>SUM(G346:G349)</f>
        <v>52400</v>
      </c>
      <c r="H345" s="155">
        <f t="shared" si="159"/>
        <v>56700</v>
      </c>
      <c r="I345" s="155">
        <f t="shared" si="159"/>
        <v>61000</v>
      </c>
    </row>
    <row r="346" spans="1:9" s="118" customFormat="1" x14ac:dyDescent="0.25">
      <c r="A346" s="217"/>
      <c r="B346" s="177">
        <v>32391</v>
      </c>
      <c r="C346" s="132"/>
      <c r="D346" s="227" t="s">
        <v>618</v>
      </c>
      <c r="E346" s="163">
        <f>'Rekapitulacija Posebni dio'!C113</f>
        <v>0</v>
      </c>
      <c r="F346" s="163">
        <f>'Rekapitulacija Posebni dio'!D113</f>
        <v>0</v>
      </c>
      <c r="G346" s="163">
        <f>'Rekapitulacija Posebni dio'!E113</f>
        <v>1300</v>
      </c>
      <c r="H346" s="163">
        <f>'Rekapitulacija Posebni dio'!F113</f>
        <v>1500</v>
      </c>
      <c r="I346" s="163">
        <f>'Rekapitulacija Posebni dio'!G113</f>
        <v>1700</v>
      </c>
    </row>
    <row r="347" spans="1:9" s="131" customFormat="1" x14ac:dyDescent="0.25">
      <c r="A347" s="192"/>
      <c r="B347" s="335">
        <v>32394</v>
      </c>
      <c r="C347" s="132"/>
      <c r="D347" s="334" t="s">
        <v>445</v>
      </c>
      <c r="E347" s="163">
        <f>'Rekapitulacija Posebni dio'!C114</f>
        <v>0</v>
      </c>
      <c r="F347" s="163">
        <f>'Rekapitulacija Posebni dio'!D114</f>
        <v>0</v>
      </c>
      <c r="G347" s="163">
        <f>'Rekapitulacija Posebni dio'!E114</f>
        <v>5800</v>
      </c>
      <c r="H347" s="163">
        <f>'Rekapitulacija Posebni dio'!F114</f>
        <v>6400</v>
      </c>
      <c r="I347" s="163">
        <f>'Rekapitulacija Posebni dio'!G114</f>
        <v>7000</v>
      </c>
    </row>
    <row r="348" spans="1:9" s="131" customFormat="1" x14ac:dyDescent="0.25">
      <c r="A348" s="192"/>
      <c r="B348" s="335">
        <v>32395</v>
      </c>
      <c r="C348" s="132"/>
      <c r="D348" s="334" t="s">
        <v>446</v>
      </c>
      <c r="E348" s="163">
        <f>'Rekapitulacija Posebni dio'!C115</f>
        <v>0</v>
      </c>
      <c r="F348" s="163">
        <f>'Rekapitulacija Posebni dio'!D115</f>
        <v>0</v>
      </c>
      <c r="G348" s="163">
        <f>'Rekapitulacija Posebni dio'!E115</f>
        <v>17300</v>
      </c>
      <c r="H348" s="163">
        <f>'Rekapitulacija Posebni dio'!F115</f>
        <v>18300</v>
      </c>
      <c r="I348" s="163">
        <f>'Rekapitulacija Posebni dio'!G115</f>
        <v>19300</v>
      </c>
    </row>
    <row r="349" spans="1:9" s="118" customFormat="1" x14ac:dyDescent="0.25">
      <c r="A349" s="217"/>
      <c r="B349" s="335">
        <v>32399</v>
      </c>
      <c r="C349" s="132"/>
      <c r="D349" s="334" t="s">
        <v>315</v>
      </c>
      <c r="E349" s="163">
        <f>'Rekapitulacija Posebni dio'!C116</f>
        <v>0</v>
      </c>
      <c r="F349" s="163">
        <f>'Rekapitulacija Posebni dio'!D116</f>
        <v>0</v>
      </c>
      <c r="G349" s="163">
        <f>'Rekapitulacija Posebni dio'!E116</f>
        <v>28000</v>
      </c>
      <c r="H349" s="163">
        <f>'Rekapitulacija Posebni dio'!F116</f>
        <v>30500</v>
      </c>
      <c r="I349" s="163">
        <f>'Rekapitulacija Posebni dio'!G116</f>
        <v>33000</v>
      </c>
    </row>
    <row r="350" spans="1:9" s="118" customFormat="1" x14ac:dyDescent="0.25">
      <c r="A350" s="217"/>
      <c r="B350" s="156">
        <v>324</v>
      </c>
      <c r="C350" s="151"/>
      <c r="D350" s="158" t="s">
        <v>143</v>
      </c>
      <c r="E350" s="155">
        <f t="shared" ref="E350:I351" si="160">SUM(E351)</f>
        <v>0</v>
      </c>
      <c r="F350" s="155">
        <f t="shared" si="160"/>
        <v>0</v>
      </c>
      <c r="G350" s="155">
        <f t="shared" si="160"/>
        <v>400</v>
      </c>
      <c r="H350" s="155">
        <f t="shared" si="160"/>
        <v>400</v>
      </c>
      <c r="I350" s="155">
        <f t="shared" si="160"/>
        <v>400</v>
      </c>
    </row>
    <row r="351" spans="1:9" s="118" customFormat="1" x14ac:dyDescent="0.25">
      <c r="A351" s="217"/>
      <c r="B351" s="156">
        <v>3241</v>
      </c>
      <c r="C351" s="151"/>
      <c r="D351" s="158" t="s">
        <v>143</v>
      </c>
      <c r="E351" s="155">
        <f t="shared" si="160"/>
        <v>0</v>
      </c>
      <c r="F351" s="155">
        <f t="shared" si="160"/>
        <v>0</v>
      </c>
      <c r="G351" s="155">
        <f t="shared" si="160"/>
        <v>400</v>
      </c>
      <c r="H351" s="155">
        <f t="shared" si="160"/>
        <v>400</v>
      </c>
      <c r="I351" s="155">
        <f t="shared" si="160"/>
        <v>400</v>
      </c>
    </row>
    <row r="352" spans="1:9" s="118" customFormat="1" x14ac:dyDescent="0.25">
      <c r="A352" s="217"/>
      <c r="B352" s="160" t="s">
        <v>510</v>
      </c>
      <c r="C352" s="151"/>
      <c r="D352" s="161" t="s">
        <v>456</v>
      </c>
      <c r="E352" s="163">
        <f>'Rekapitulacija Posebni dio'!C119</f>
        <v>0</v>
      </c>
      <c r="F352" s="163">
        <f>'Rekapitulacija Posebni dio'!D119</f>
        <v>0</v>
      </c>
      <c r="G352" s="163">
        <f>'Rekapitulacija Posebni dio'!E119</f>
        <v>400</v>
      </c>
      <c r="H352" s="163">
        <f>'Rekapitulacija Posebni dio'!F119</f>
        <v>400</v>
      </c>
      <c r="I352" s="163">
        <f>'Rekapitulacija Posebni dio'!G119</f>
        <v>400</v>
      </c>
    </row>
    <row r="353" spans="1:9" s="131" customFormat="1" x14ac:dyDescent="0.25">
      <c r="A353" s="192"/>
      <c r="B353" s="156" t="s">
        <v>583</v>
      </c>
      <c r="C353" s="151"/>
      <c r="D353" s="158" t="s">
        <v>638</v>
      </c>
      <c r="E353" s="155">
        <f>E354+E357+E359</f>
        <v>0</v>
      </c>
      <c r="F353" s="155">
        <f t="shared" ref="F353:I353" si="161">F354+F357+F359</f>
        <v>0</v>
      </c>
      <c r="G353" s="155">
        <f>G354+G357+G359</f>
        <v>2675733</v>
      </c>
      <c r="H353" s="155">
        <f t="shared" si="161"/>
        <v>2753733</v>
      </c>
      <c r="I353" s="155">
        <f t="shared" si="161"/>
        <v>2834233</v>
      </c>
    </row>
    <row r="354" spans="1:9" s="131" customFormat="1" x14ac:dyDescent="0.25">
      <c r="A354" s="192"/>
      <c r="B354" s="156" t="s">
        <v>584</v>
      </c>
      <c r="C354" s="151"/>
      <c r="D354" s="158" t="s">
        <v>638</v>
      </c>
      <c r="E354" s="155">
        <f>E355+E356</f>
        <v>0</v>
      </c>
      <c r="F354" s="155">
        <f t="shared" ref="F354:I354" si="162">F355+F356</f>
        <v>0</v>
      </c>
      <c r="G354" s="155">
        <f t="shared" si="162"/>
        <v>990000</v>
      </c>
      <c r="H354" s="155">
        <f t="shared" si="162"/>
        <v>1037000</v>
      </c>
      <c r="I354" s="155">
        <f t="shared" si="162"/>
        <v>1085700</v>
      </c>
    </row>
    <row r="355" spans="1:9" s="118" customFormat="1" x14ac:dyDescent="0.25">
      <c r="A355" s="217"/>
      <c r="B355" s="160" t="s">
        <v>585</v>
      </c>
      <c r="C355" s="151"/>
      <c r="D355" s="161" t="s">
        <v>587</v>
      </c>
      <c r="E355" s="163">
        <f>'Rekapitulacija Posebni dio'!C122</f>
        <v>0</v>
      </c>
      <c r="F355" s="163">
        <f>'Rekapitulacija Posebni dio'!D122</f>
        <v>0</v>
      </c>
      <c r="G355" s="163">
        <f>'Rekapitulacija Posebni dio'!E122</f>
        <v>60000</v>
      </c>
      <c r="H355" s="163">
        <f>'Rekapitulacija Posebni dio'!F122</f>
        <v>73000</v>
      </c>
      <c r="I355" s="163">
        <f>'Rekapitulacija Posebni dio'!G122</f>
        <v>87000</v>
      </c>
    </row>
    <row r="356" spans="1:9" s="118" customFormat="1" x14ac:dyDescent="0.25">
      <c r="A356" s="217"/>
      <c r="B356" s="160" t="s">
        <v>586</v>
      </c>
      <c r="C356" s="151"/>
      <c r="D356" s="161" t="s">
        <v>588</v>
      </c>
      <c r="E356" s="163">
        <f>'Rekapitulacija Posebni dio'!C123</f>
        <v>0</v>
      </c>
      <c r="F356" s="163">
        <f>'Rekapitulacija Posebni dio'!D123</f>
        <v>0</v>
      </c>
      <c r="G356" s="163">
        <f>'Rekapitulacija Posebni dio'!E123</f>
        <v>930000</v>
      </c>
      <c r="H356" s="163">
        <f>'Rekapitulacija Posebni dio'!F123</f>
        <v>964000</v>
      </c>
      <c r="I356" s="163">
        <f>'Rekapitulacija Posebni dio'!G123</f>
        <v>998700</v>
      </c>
    </row>
    <row r="357" spans="1:9" s="118" customFormat="1" x14ac:dyDescent="0.25">
      <c r="A357" s="217"/>
      <c r="B357" s="156" t="s">
        <v>619</v>
      </c>
      <c r="C357" s="151"/>
      <c r="D357" s="426" t="s">
        <v>621</v>
      </c>
      <c r="E357" s="155">
        <f>E358</f>
        <v>0</v>
      </c>
      <c r="F357" s="155">
        <f t="shared" ref="F357:I357" si="163">F358</f>
        <v>0</v>
      </c>
      <c r="G357" s="155">
        <f t="shared" si="163"/>
        <v>5000</v>
      </c>
      <c r="H357" s="155">
        <f t="shared" si="163"/>
        <v>6000</v>
      </c>
      <c r="I357" s="155">
        <f t="shared" si="163"/>
        <v>7000</v>
      </c>
    </row>
    <row r="358" spans="1:9" s="118" customFormat="1" x14ac:dyDescent="0.25">
      <c r="A358" s="217"/>
      <c r="B358" s="160" t="s">
        <v>620</v>
      </c>
      <c r="C358" s="151"/>
      <c r="D358" s="427" t="s">
        <v>626</v>
      </c>
      <c r="E358" s="163">
        <f>'Rekapitulacija Posebni dio'!C125</f>
        <v>0</v>
      </c>
      <c r="F358" s="163">
        <f>'Rekapitulacija Posebni dio'!D125</f>
        <v>0</v>
      </c>
      <c r="G358" s="163">
        <f>'Rekapitulacija Posebni dio'!E125</f>
        <v>5000</v>
      </c>
      <c r="H358" s="163">
        <f>'Rekapitulacija Posebni dio'!F125</f>
        <v>6000</v>
      </c>
      <c r="I358" s="163">
        <f>'Rekapitulacija Posebni dio'!G125</f>
        <v>7000</v>
      </c>
    </row>
    <row r="359" spans="1:9" s="118" customFormat="1" x14ac:dyDescent="0.25">
      <c r="A359" s="217"/>
      <c r="B359" s="156" t="s">
        <v>622</v>
      </c>
      <c r="C359" s="151"/>
      <c r="D359" s="426" t="s">
        <v>624</v>
      </c>
      <c r="E359" s="155">
        <f>E360</f>
        <v>0</v>
      </c>
      <c r="F359" s="155">
        <f t="shared" ref="F359:I359" si="164">F360</f>
        <v>0</v>
      </c>
      <c r="G359" s="155">
        <f t="shared" si="164"/>
        <v>1680733</v>
      </c>
      <c r="H359" s="155">
        <f t="shared" si="164"/>
        <v>1710733</v>
      </c>
      <c r="I359" s="155">
        <f t="shared" si="164"/>
        <v>1741533</v>
      </c>
    </row>
    <row r="360" spans="1:9" s="118" customFormat="1" x14ac:dyDescent="0.25">
      <c r="A360" s="217"/>
      <c r="B360" s="160" t="s">
        <v>623</v>
      </c>
      <c r="C360" s="151"/>
      <c r="D360" s="427" t="s">
        <v>625</v>
      </c>
      <c r="E360" s="163">
        <f>'Rekapitulacija Posebni dio'!C127</f>
        <v>0</v>
      </c>
      <c r="F360" s="163">
        <f>'Rekapitulacija Posebni dio'!D127</f>
        <v>0</v>
      </c>
      <c r="G360" s="163">
        <f>'Rekapitulacija Posebni dio'!E127</f>
        <v>1680733</v>
      </c>
      <c r="H360" s="163">
        <f>'Rekapitulacija Posebni dio'!F127</f>
        <v>1710733</v>
      </c>
      <c r="I360" s="163">
        <f>'Rekapitulacija Posebni dio'!G127</f>
        <v>1741533</v>
      </c>
    </row>
    <row r="361" spans="1:9" s="118" customFormat="1" x14ac:dyDescent="0.25">
      <c r="A361" s="217"/>
      <c r="B361" s="174">
        <v>329</v>
      </c>
      <c r="C361" s="151"/>
      <c r="D361" s="228" t="s">
        <v>144</v>
      </c>
      <c r="E361" s="155">
        <f t="shared" ref="E361" si="165">E362+E364+E368+E370+E372+E377+E379</f>
        <v>0</v>
      </c>
      <c r="F361" s="155">
        <f t="shared" ref="F361:I361" si="166">F362+F364+F368+F370+F372+F377+F379</f>
        <v>0</v>
      </c>
      <c r="G361" s="155">
        <f t="shared" si="166"/>
        <v>120680</v>
      </c>
      <c r="H361" s="155">
        <f t="shared" si="166"/>
        <v>129740</v>
      </c>
      <c r="I361" s="155">
        <f t="shared" si="166"/>
        <v>140100</v>
      </c>
    </row>
    <row r="362" spans="1:9" s="118" customFormat="1" ht="15.75" customHeight="1" x14ac:dyDescent="0.25">
      <c r="A362" s="217"/>
      <c r="B362" s="174" t="s">
        <v>145</v>
      </c>
      <c r="C362" s="151"/>
      <c r="D362" s="158" t="s">
        <v>553</v>
      </c>
      <c r="E362" s="155">
        <f t="shared" ref="E362:I362" si="167">SUM(E363)</f>
        <v>0</v>
      </c>
      <c r="F362" s="155">
        <f t="shared" si="167"/>
        <v>0</v>
      </c>
      <c r="G362" s="155">
        <f t="shared" si="167"/>
        <v>25500</v>
      </c>
      <c r="H362" s="155">
        <f t="shared" si="167"/>
        <v>27500</v>
      </c>
      <c r="I362" s="155">
        <f t="shared" si="167"/>
        <v>30500</v>
      </c>
    </row>
    <row r="363" spans="1:9" s="118" customFormat="1" ht="14.25" customHeight="1" x14ac:dyDescent="0.25">
      <c r="A363" s="217"/>
      <c r="B363" s="177">
        <v>32911</v>
      </c>
      <c r="C363" s="132"/>
      <c r="D363" s="161" t="s">
        <v>146</v>
      </c>
      <c r="E363" s="163">
        <f>'Rekapitulacija Posebni dio'!C130</f>
        <v>0</v>
      </c>
      <c r="F363" s="163">
        <f>'Rekapitulacija Posebni dio'!D130</f>
        <v>0</v>
      </c>
      <c r="G363" s="163">
        <f>'Rekapitulacija Posebni dio'!E130</f>
        <v>25500</v>
      </c>
      <c r="H363" s="163">
        <f>'Rekapitulacija Posebni dio'!F130</f>
        <v>27500</v>
      </c>
      <c r="I363" s="163">
        <f>'Rekapitulacija Posebni dio'!G130</f>
        <v>30500</v>
      </c>
    </row>
    <row r="364" spans="1:9" s="118" customFormat="1" x14ac:dyDescent="0.25">
      <c r="A364" s="217"/>
      <c r="B364" s="174">
        <v>3292</v>
      </c>
      <c r="C364" s="151"/>
      <c r="D364" s="228" t="s">
        <v>147</v>
      </c>
      <c r="E364" s="155">
        <f t="shared" ref="E364" si="168">SUM(E365:E367)</f>
        <v>0</v>
      </c>
      <c r="F364" s="155">
        <f t="shared" ref="F364:I364" si="169">SUM(F365:F367)</f>
        <v>0</v>
      </c>
      <c r="G364" s="155">
        <f t="shared" si="169"/>
        <v>72000</v>
      </c>
      <c r="H364" s="155">
        <f t="shared" si="169"/>
        <v>76200</v>
      </c>
      <c r="I364" s="155">
        <f t="shared" si="169"/>
        <v>80700</v>
      </c>
    </row>
    <row r="365" spans="1:9" s="118" customFormat="1" x14ac:dyDescent="0.25">
      <c r="A365" s="217"/>
      <c r="B365" s="177">
        <v>32921</v>
      </c>
      <c r="C365" s="151"/>
      <c r="D365" s="334" t="s">
        <v>450</v>
      </c>
      <c r="E365" s="155">
        <f>'Rekapitulacija Posebni dio'!C132</f>
        <v>0</v>
      </c>
      <c r="F365" s="155">
        <f>'Rekapitulacija Posebni dio'!D132</f>
        <v>0</v>
      </c>
      <c r="G365" s="155">
        <f>'Rekapitulacija Posebni dio'!E132</f>
        <v>11500</v>
      </c>
      <c r="H365" s="155">
        <f>'Rekapitulacija Posebni dio'!F132</f>
        <v>12500</v>
      </c>
      <c r="I365" s="155">
        <f>'Rekapitulacija Posebni dio'!G132</f>
        <v>13500</v>
      </c>
    </row>
    <row r="366" spans="1:9" s="118" customFormat="1" x14ac:dyDescent="0.25">
      <c r="A366" s="217"/>
      <c r="B366" s="177">
        <v>32922</v>
      </c>
      <c r="C366" s="151"/>
      <c r="D366" s="334" t="s">
        <v>449</v>
      </c>
      <c r="E366" s="155">
        <f>'Rekapitulacija Posebni dio'!C133</f>
        <v>0</v>
      </c>
      <c r="F366" s="155">
        <f>'Rekapitulacija Posebni dio'!D133</f>
        <v>0</v>
      </c>
      <c r="G366" s="155">
        <f>'Rekapitulacija Posebni dio'!E133</f>
        <v>32800</v>
      </c>
      <c r="H366" s="155">
        <f>'Rekapitulacija Posebni dio'!F133</f>
        <v>34000</v>
      </c>
      <c r="I366" s="155">
        <f>'Rekapitulacija Posebni dio'!G133</f>
        <v>35500</v>
      </c>
    </row>
    <row r="367" spans="1:9" s="118" customFormat="1" x14ac:dyDescent="0.25">
      <c r="A367" s="217"/>
      <c r="B367" s="177">
        <v>32923</v>
      </c>
      <c r="C367" s="132"/>
      <c r="D367" s="334" t="s">
        <v>447</v>
      </c>
      <c r="E367" s="163">
        <f>'Rekapitulacija Posebni dio'!C134</f>
        <v>0</v>
      </c>
      <c r="F367" s="163">
        <f>'Rekapitulacija Posebni dio'!D134</f>
        <v>0</v>
      </c>
      <c r="G367" s="163">
        <f>'Rekapitulacija Posebni dio'!E134</f>
        <v>27700</v>
      </c>
      <c r="H367" s="163">
        <f>'Rekapitulacija Posebni dio'!F134</f>
        <v>29700</v>
      </c>
      <c r="I367" s="163">
        <f>'Rekapitulacija Posebni dio'!G134</f>
        <v>31700</v>
      </c>
    </row>
    <row r="368" spans="1:9" s="118" customFormat="1" x14ac:dyDescent="0.25">
      <c r="A368" s="217"/>
      <c r="B368" s="174">
        <v>3293</v>
      </c>
      <c r="C368" s="151"/>
      <c r="D368" s="228" t="s">
        <v>148</v>
      </c>
      <c r="E368" s="155">
        <f t="shared" ref="E368:I368" si="170">SUM(E369)</f>
        <v>0</v>
      </c>
      <c r="F368" s="155">
        <f t="shared" si="170"/>
        <v>0</v>
      </c>
      <c r="G368" s="155">
        <f t="shared" si="170"/>
        <v>3350</v>
      </c>
      <c r="H368" s="155">
        <f t="shared" si="170"/>
        <v>3750</v>
      </c>
      <c r="I368" s="155">
        <f t="shared" si="170"/>
        <v>4250</v>
      </c>
    </row>
    <row r="369" spans="1:9" s="118" customFormat="1" x14ac:dyDescent="0.25">
      <c r="A369" s="217"/>
      <c r="B369" s="177">
        <v>32931</v>
      </c>
      <c r="C369" s="132"/>
      <c r="D369" s="227" t="s">
        <v>148</v>
      </c>
      <c r="E369" s="163">
        <f>'Rekapitulacija Posebni dio'!C136</f>
        <v>0</v>
      </c>
      <c r="F369" s="163">
        <f>'Rekapitulacija Posebni dio'!D136</f>
        <v>0</v>
      </c>
      <c r="G369" s="163">
        <f>'Rekapitulacija Posebni dio'!E136</f>
        <v>3350</v>
      </c>
      <c r="H369" s="163">
        <f>'Rekapitulacija Posebni dio'!F136</f>
        <v>3750</v>
      </c>
      <c r="I369" s="163">
        <f>'Rekapitulacija Posebni dio'!G136</f>
        <v>4250</v>
      </c>
    </row>
    <row r="370" spans="1:9" s="118" customFormat="1" x14ac:dyDescent="0.25">
      <c r="A370" s="217"/>
      <c r="B370" s="174">
        <v>3294</v>
      </c>
      <c r="C370" s="151"/>
      <c r="D370" s="228" t="s">
        <v>149</v>
      </c>
      <c r="E370" s="155">
        <f t="shared" ref="E370:I370" si="171">SUM(E371)</f>
        <v>0</v>
      </c>
      <c r="F370" s="155">
        <f t="shared" si="171"/>
        <v>0</v>
      </c>
      <c r="G370" s="155">
        <f t="shared" si="171"/>
        <v>5750</v>
      </c>
      <c r="H370" s="155">
        <f t="shared" si="171"/>
        <v>6000</v>
      </c>
      <c r="I370" s="155">
        <f t="shared" si="171"/>
        <v>6250</v>
      </c>
    </row>
    <row r="371" spans="1:9" s="118" customFormat="1" x14ac:dyDescent="0.25">
      <c r="A371" s="217"/>
      <c r="B371" s="177">
        <v>32941</v>
      </c>
      <c r="C371" s="132"/>
      <c r="D371" s="227" t="s">
        <v>548</v>
      </c>
      <c r="E371" s="163">
        <f>'Rekapitulacija Posebni dio'!C138</f>
        <v>0</v>
      </c>
      <c r="F371" s="163">
        <f>'Rekapitulacija Posebni dio'!D138</f>
        <v>0</v>
      </c>
      <c r="G371" s="163">
        <f>'Rekapitulacija Posebni dio'!E138</f>
        <v>5750</v>
      </c>
      <c r="H371" s="163">
        <f>'Rekapitulacija Posebni dio'!F138</f>
        <v>6000</v>
      </c>
      <c r="I371" s="163">
        <f>'Rekapitulacija Posebni dio'!G138</f>
        <v>6250</v>
      </c>
    </row>
    <row r="372" spans="1:9" s="118" customFormat="1" x14ac:dyDescent="0.25">
      <c r="A372" s="217"/>
      <c r="B372" s="169">
        <v>3295</v>
      </c>
      <c r="C372" s="151"/>
      <c r="D372" s="232" t="s">
        <v>150</v>
      </c>
      <c r="E372" s="155">
        <f>SUM(E373:E376)</f>
        <v>0</v>
      </c>
      <c r="F372" s="155">
        <f t="shared" ref="F372:I372" si="172">SUM(F373:F376)</f>
        <v>0</v>
      </c>
      <c r="G372" s="155">
        <f t="shared" si="172"/>
        <v>4360</v>
      </c>
      <c r="H372" s="155">
        <f t="shared" si="172"/>
        <v>4970</v>
      </c>
      <c r="I372" s="155">
        <f t="shared" si="172"/>
        <v>5480</v>
      </c>
    </row>
    <row r="373" spans="1:9" s="118" customFormat="1" x14ac:dyDescent="0.25">
      <c r="A373" s="217"/>
      <c r="B373" s="184">
        <v>32951</v>
      </c>
      <c r="C373" s="132"/>
      <c r="D373" s="229" t="s">
        <v>627</v>
      </c>
      <c r="E373" s="163">
        <f>'Rekapitulacija Posebni dio'!C140</f>
        <v>0</v>
      </c>
      <c r="F373" s="163">
        <f>'Rekapitulacija Posebni dio'!D140</f>
        <v>0</v>
      </c>
      <c r="G373" s="163">
        <f>'Rekapitulacija Posebni dio'!E140</f>
        <v>10</v>
      </c>
      <c r="H373" s="163">
        <f>'Rekapitulacija Posebni dio'!F140</f>
        <v>20</v>
      </c>
      <c r="I373" s="163">
        <f>'Rekapitulacija Posebni dio'!G140</f>
        <v>30</v>
      </c>
    </row>
    <row r="374" spans="1:9" s="118" customFormat="1" x14ac:dyDescent="0.25">
      <c r="A374" s="217"/>
      <c r="B374" s="177">
        <v>32952</v>
      </c>
      <c r="C374" s="132"/>
      <c r="D374" s="336" t="s">
        <v>453</v>
      </c>
      <c r="E374" s="163">
        <f>'Rekapitulacija Posebni dio'!C141</f>
        <v>0</v>
      </c>
      <c r="F374" s="163">
        <f>'Rekapitulacija Posebni dio'!D141</f>
        <v>0</v>
      </c>
      <c r="G374" s="163">
        <f>'Rekapitulacija Posebni dio'!E141</f>
        <v>1100</v>
      </c>
      <c r="H374" s="163">
        <f>'Rekapitulacija Posebni dio'!F141</f>
        <v>1300</v>
      </c>
      <c r="I374" s="163">
        <f>'Rekapitulacija Posebni dio'!G141</f>
        <v>1400</v>
      </c>
    </row>
    <row r="375" spans="1:9" s="118" customFormat="1" x14ac:dyDescent="0.25">
      <c r="A375" s="217"/>
      <c r="B375" s="177">
        <v>32953</v>
      </c>
      <c r="C375" s="132"/>
      <c r="D375" s="336" t="s">
        <v>454</v>
      </c>
      <c r="E375" s="163">
        <f>'Rekapitulacija Posebni dio'!C142</f>
        <v>0</v>
      </c>
      <c r="F375" s="163">
        <f>'Rekapitulacija Posebni dio'!D142</f>
        <v>0</v>
      </c>
      <c r="G375" s="163">
        <f>'Rekapitulacija Posebni dio'!E142</f>
        <v>800</v>
      </c>
      <c r="H375" s="163">
        <f>'Rekapitulacija Posebni dio'!F142</f>
        <v>900</v>
      </c>
      <c r="I375" s="163">
        <f>'Rekapitulacija Posebni dio'!G142</f>
        <v>1000</v>
      </c>
    </row>
    <row r="376" spans="1:9" s="118" customFormat="1" x14ac:dyDescent="0.25">
      <c r="A376" s="217"/>
      <c r="B376" s="184">
        <v>32959</v>
      </c>
      <c r="C376" s="132"/>
      <c r="D376" s="336" t="s">
        <v>452</v>
      </c>
      <c r="E376" s="163">
        <f>'Rekapitulacija Posebni dio'!C143</f>
        <v>0</v>
      </c>
      <c r="F376" s="163">
        <f>'Rekapitulacija Posebni dio'!D143</f>
        <v>0</v>
      </c>
      <c r="G376" s="163">
        <f>'Rekapitulacija Posebni dio'!E143</f>
        <v>2450</v>
      </c>
      <c r="H376" s="163">
        <f>'Rekapitulacija Posebni dio'!F143</f>
        <v>2750</v>
      </c>
      <c r="I376" s="163">
        <f>'Rekapitulacija Posebni dio'!G143</f>
        <v>3050</v>
      </c>
    </row>
    <row r="377" spans="1:9" s="118" customFormat="1" x14ac:dyDescent="0.25">
      <c r="A377" s="217"/>
      <c r="B377" s="169">
        <v>3296</v>
      </c>
      <c r="C377" s="151"/>
      <c r="D377" s="232" t="s">
        <v>151</v>
      </c>
      <c r="E377" s="155">
        <f t="shared" ref="E377:I377" si="173">SUM(E378)</f>
        <v>0</v>
      </c>
      <c r="F377" s="155">
        <f t="shared" si="173"/>
        <v>0</v>
      </c>
      <c r="G377" s="155">
        <f t="shared" si="173"/>
        <v>4000</v>
      </c>
      <c r="H377" s="155">
        <f t="shared" si="173"/>
        <v>4500</v>
      </c>
      <c r="I377" s="155">
        <f t="shared" si="173"/>
        <v>5000</v>
      </c>
    </row>
    <row r="378" spans="1:9" s="118" customFormat="1" x14ac:dyDescent="0.25">
      <c r="A378" s="217"/>
      <c r="B378" s="184">
        <v>32961</v>
      </c>
      <c r="C378" s="132"/>
      <c r="D378" s="229" t="s">
        <v>151</v>
      </c>
      <c r="E378" s="163">
        <f>'Rekapitulacija Posebni dio'!C145</f>
        <v>0</v>
      </c>
      <c r="F378" s="163">
        <f>'Rekapitulacija Posebni dio'!D145</f>
        <v>0</v>
      </c>
      <c r="G378" s="163">
        <f>'Rekapitulacija Posebni dio'!E145</f>
        <v>4000</v>
      </c>
      <c r="H378" s="163">
        <f>'Rekapitulacija Posebni dio'!F145</f>
        <v>4500</v>
      </c>
      <c r="I378" s="163">
        <f>'Rekapitulacija Posebni dio'!G145</f>
        <v>5000</v>
      </c>
    </row>
    <row r="379" spans="1:9" s="118" customFormat="1" x14ac:dyDescent="0.25">
      <c r="A379" s="217"/>
      <c r="B379" s="169" t="s">
        <v>152</v>
      </c>
      <c r="C379" s="151"/>
      <c r="D379" s="232" t="s">
        <v>144</v>
      </c>
      <c r="E379" s="155">
        <f t="shared" ref="E379" si="174">SUM(E380:E381)</f>
        <v>0</v>
      </c>
      <c r="F379" s="155">
        <f t="shared" ref="F379:I379" si="175">SUM(F380:F381)</f>
        <v>0</v>
      </c>
      <c r="G379" s="155">
        <f t="shared" si="175"/>
        <v>5720</v>
      </c>
      <c r="H379" s="155">
        <f t="shared" si="175"/>
        <v>6820</v>
      </c>
      <c r="I379" s="155">
        <f t="shared" si="175"/>
        <v>7920</v>
      </c>
    </row>
    <row r="380" spans="1:9" s="118" customFormat="1" x14ac:dyDescent="0.25">
      <c r="A380" s="217"/>
      <c r="B380" s="184">
        <v>32991</v>
      </c>
      <c r="C380" s="132"/>
      <c r="D380" s="336" t="s">
        <v>455</v>
      </c>
      <c r="E380" s="163">
        <f>'Rekapitulacija Posebni dio'!C147</f>
        <v>0</v>
      </c>
      <c r="F380" s="163">
        <f>'Rekapitulacija Posebni dio'!D147</f>
        <v>0</v>
      </c>
      <c r="G380" s="163">
        <f>'Rekapitulacija Posebni dio'!E147</f>
        <v>200</v>
      </c>
      <c r="H380" s="163">
        <f>'Rekapitulacija Posebni dio'!F147</f>
        <v>300</v>
      </c>
      <c r="I380" s="163">
        <f>'Rekapitulacija Posebni dio'!G147</f>
        <v>400</v>
      </c>
    </row>
    <row r="381" spans="1:9" s="118" customFormat="1" x14ac:dyDescent="0.25">
      <c r="A381" s="217"/>
      <c r="B381" s="184">
        <v>32999</v>
      </c>
      <c r="C381" s="132"/>
      <c r="D381" s="336" t="s">
        <v>144</v>
      </c>
      <c r="E381" s="163">
        <f>'Rekapitulacija Posebni dio'!C148</f>
        <v>0</v>
      </c>
      <c r="F381" s="163">
        <f>'Rekapitulacija Posebni dio'!D148</f>
        <v>0</v>
      </c>
      <c r="G381" s="163">
        <f>'Rekapitulacija Posebni dio'!E148</f>
        <v>5520</v>
      </c>
      <c r="H381" s="163">
        <f>'Rekapitulacija Posebni dio'!F148</f>
        <v>6520</v>
      </c>
      <c r="I381" s="163">
        <f>'Rekapitulacija Posebni dio'!G148</f>
        <v>7520</v>
      </c>
    </row>
    <row r="382" spans="1:9" s="118" customFormat="1" x14ac:dyDescent="0.25">
      <c r="A382" s="217"/>
      <c r="B382" s="133">
        <v>34</v>
      </c>
      <c r="C382" s="203"/>
      <c r="D382" s="216" t="s">
        <v>153</v>
      </c>
      <c r="E382" s="168">
        <f t="shared" ref="E382:I382" si="176">SUM(E383)</f>
        <v>0</v>
      </c>
      <c r="F382" s="168">
        <f t="shared" si="176"/>
        <v>0</v>
      </c>
      <c r="G382" s="168">
        <f t="shared" si="176"/>
        <v>25075</v>
      </c>
      <c r="H382" s="168">
        <f t="shared" si="176"/>
        <v>24770</v>
      </c>
      <c r="I382" s="168">
        <f t="shared" si="176"/>
        <v>25065</v>
      </c>
    </row>
    <row r="383" spans="1:9" s="118" customFormat="1" x14ac:dyDescent="0.25">
      <c r="A383" s="217"/>
      <c r="B383" s="174">
        <v>343</v>
      </c>
      <c r="C383" s="151"/>
      <c r="D383" s="228" t="s">
        <v>154</v>
      </c>
      <c r="E383" s="155">
        <f>E384+E387+E392</f>
        <v>0</v>
      </c>
      <c r="F383" s="155">
        <f t="shared" ref="F383:I383" si="177">F384+F387+F392</f>
        <v>0</v>
      </c>
      <c r="G383" s="155">
        <f t="shared" si="177"/>
        <v>25075</v>
      </c>
      <c r="H383" s="155">
        <f t="shared" si="177"/>
        <v>24770</v>
      </c>
      <c r="I383" s="155">
        <f t="shared" si="177"/>
        <v>25065</v>
      </c>
    </row>
    <row r="384" spans="1:9" s="118" customFormat="1" x14ac:dyDescent="0.25">
      <c r="A384" s="217"/>
      <c r="B384" s="174" t="s">
        <v>155</v>
      </c>
      <c r="C384" s="151"/>
      <c r="D384" s="228" t="s">
        <v>156</v>
      </c>
      <c r="E384" s="155">
        <f>SUM(E385:E386)</f>
        <v>0</v>
      </c>
      <c r="F384" s="155">
        <f t="shared" ref="F384:I384" si="178">SUM(F385:F386)</f>
        <v>0</v>
      </c>
      <c r="G384" s="155">
        <f t="shared" si="178"/>
        <v>23500</v>
      </c>
      <c r="H384" s="155">
        <f t="shared" si="178"/>
        <v>23250</v>
      </c>
      <c r="I384" s="155">
        <f t="shared" si="178"/>
        <v>23500</v>
      </c>
    </row>
    <row r="385" spans="1:9" s="118" customFormat="1" x14ac:dyDescent="0.25">
      <c r="A385" s="217"/>
      <c r="B385" s="177">
        <v>34311</v>
      </c>
      <c r="C385" s="132"/>
      <c r="D385" s="227" t="s">
        <v>628</v>
      </c>
      <c r="E385" s="163">
        <f>'Rekapitulacija Posebni dio'!C152</f>
        <v>0</v>
      </c>
      <c r="F385" s="163">
        <f>'Rekapitulacija Posebni dio'!D152</f>
        <v>0</v>
      </c>
      <c r="G385" s="163">
        <f>'Rekapitulacija Posebni dio'!E152</f>
        <v>13000</v>
      </c>
      <c r="H385" s="163">
        <f>'Rekapitulacija Posebni dio'!F152</f>
        <v>13000</v>
      </c>
      <c r="I385" s="163">
        <f>'Rekapitulacija Posebni dio'!G152</f>
        <v>13000</v>
      </c>
    </row>
    <row r="386" spans="1:9" s="118" customFormat="1" x14ac:dyDescent="0.25">
      <c r="A386" s="217"/>
      <c r="B386" s="177">
        <v>34312</v>
      </c>
      <c r="C386" s="132"/>
      <c r="D386" s="227" t="s">
        <v>457</v>
      </c>
      <c r="E386" s="163">
        <f>'Rekapitulacija Posebni dio'!C153</f>
        <v>0</v>
      </c>
      <c r="F386" s="163">
        <f>'Rekapitulacija Posebni dio'!D153</f>
        <v>0</v>
      </c>
      <c r="G386" s="163">
        <f>'Rekapitulacija Posebni dio'!E153</f>
        <v>10500</v>
      </c>
      <c r="H386" s="163">
        <f>'Rekapitulacija Posebni dio'!F153</f>
        <v>10250</v>
      </c>
      <c r="I386" s="163">
        <f>'Rekapitulacija Posebni dio'!G153</f>
        <v>10500</v>
      </c>
    </row>
    <row r="387" spans="1:9" s="118" customFormat="1" x14ac:dyDescent="0.25">
      <c r="A387" s="217"/>
      <c r="B387" s="169">
        <v>3433</v>
      </c>
      <c r="C387" s="151"/>
      <c r="D387" s="232" t="s">
        <v>157</v>
      </c>
      <c r="E387" s="155">
        <f t="shared" ref="E387" si="179">SUM(E388:E391)</f>
        <v>0</v>
      </c>
      <c r="F387" s="155">
        <f t="shared" ref="F387:I387" si="180">SUM(F388:F391)</f>
        <v>0</v>
      </c>
      <c r="G387" s="155">
        <f t="shared" si="180"/>
        <v>1575</v>
      </c>
      <c r="H387" s="155">
        <f t="shared" si="180"/>
        <v>1520</v>
      </c>
      <c r="I387" s="155">
        <f t="shared" si="180"/>
        <v>1565</v>
      </c>
    </row>
    <row r="388" spans="1:9" s="118" customFormat="1" x14ac:dyDescent="0.25">
      <c r="A388" s="217"/>
      <c r="B388" s="335">
        <v>34331</v>
      </c>
      <c r="C388" s="132"/>
      <c r="D388" s="334" t="s">
        <v>458</v>
      </c>
      <c r="E388" s="163">
        <f>'Rekapitulacija Posebni dio'!C156</f>
        <v>0</v>
      </c>
      <c r="F388" s="163">
        <f>'Rekapitulacija Posebni dio'!D156</f>
        <v>0</v>
      </c>
      <c r="G388" s="163">
        <f>'Rekapitulacija Posebni dio'!E156</f>
        <v>25</v>
      </c>
      <c r="H388" s="163">
        <f>'Rekapitulacija Posebni dio'!F156</f>
        <v>30</v>
      </c>
      <c r="I388" s="163">
        <f>'Rekapitulacija Posebni dio'!G156</f>
        <v>35</v>
      </c>
    </row>
    <row r="389" spans="1:9" s="118" customFormat="1" x14ac:dyDescent="0.25">
      <c r="A389" s="217"/>
      <c r="B389" s="335">
        <v>34332</v>
      </c>
      <c r="C389" s="132"/>
      <c r="D389" s="334" t="s">
        <v>459</v>
      </c>
      <c r="E389" s="163">
        <f>'Rekapitulacija Posebni dio'!C157</f>
        <v>0</v>
      </c>
      <c r="F389" s="163">
        <f>'Rekapitulacija Posebni dio'!D157</f>
        <v>0</v>
      </c>
      <c r="G389" s="163">
        <f>'Rekapitulacija Posebni dio'!E157</f>
        <v>350</v>
      </c>
      <c r="H389" s="163">
        <f>'Rekapitulacija Posebni dio'!F157</f>
        <v>350</v>
      </c>
      <c r="I389" s="163">
        <f>'Rekapitulacija Posebni dio'!G157</f>
        <v>350</v>
      </c>
    </row>
    <row r="390" spans="1:9" s="118" customFormat="1" x14ac:dyDescent="0.25">
      <c r="A390" s="217"/>
      <c r="B390" s="335">
        <v>34333</v>
      </c>
      <c r="C390" s="132"/>
      <c r="D390" s="334" t="s">
        <v>460</v>
      </c>
      <c r="E390" s="163">
        <f>'Rekapitulacija Posebni dio'!C158</f>
        <v>0</v>
      </c>
      <c r="F390" s="163">
        <f>'Rekapitulacija Posebni dio'!D158</f>
        <v>0</v>
      </c>
      <c r="G390" s="163">
        <f>'Rekapitulacija Posebni dio'!E158</f>
        <v>600</v>
      </c>
      <c r="H390" s="163">
        <f>'Rekapitulacija Posebni dio'!F158</f>
        <v>515</v>
      </c>
      <c r="I390" s="163">
        <f>'Rekapitulacija Posebni dio'!G158</f>
        <v>530</v>
      </c>
    </row>
    <row r="391" spans="1:9" s="118" customFormat="1" x14ac:dyDescent="0.25">
      <c r="A391" s="217"/>
      <c r="B391" s="337">
        <v>34339</v>
      </c>
      <c r="C391" s="132"/>
      <c r="D391" s="336" t="s">
        <v>461</v>
      </c>
      <c r="E391" s="163">
        <f>'Rekapitulacija Posebni dio'!C159</f>
        <v>0</v>
      </c>
      <c r="F391" s="163">
        <f>'Rekapitulacija Posebni dio'!D159</f>
        <v>0</v>
      </c>
      <c r="G391" s="163">
        <f>'Rekapitulacija Posebni dio'!E159</f>
        <v>600</v>
      </c>
      <c r="H391" s="163">
        <f>'Rekapitulacija Posebni dio'!F159</f>
        <v>625</v>
      </c>
      <c r="I391" s="163">
        <f>'Rekapitulacija Posebni dio'!G159</f>
        <v>650</v>
      </c>
    </row>
    <row r="392" spans="1:9" s="118" customFormat="1" hidden="1" x14ac:dyDescent="0.25">
      <c r="A392" s="217"/>
      <c r="B392" s="169">
        <v>3434</v>
      </c>
      <c r="C392" s="151"/>
      <c r="D392" s="232" t="s">
        <v>158</v>
      </c>
      <c r="E392" s="155">
        <f>E393</f>
        <v>0</v>
      </c>
      <c r="F392" s="155">
        <f t="shared" ref="F392:I392" si="181">F393</f>
        <v>0</v>
      </c>
      <c r="G392" s="155">
        <f t="shared" si="181"/>
        <v>0</v>
      </c>
      <c r="H392" s="155">
        <f t="shared" si="181"/>
        <v>0</v>
      </c>
      <c r="I392" s="155">
        <f t="shared" si="181"/>
        <v>0</v>
      </c>
    </row>
    <row r="393" spans="1:9" s="118" customFormat="1" hidden="1" x14ac:dyDescent="0.25">
      <c r="A393" s="217"/>
      <c r="B393" s="184">
        <v>34349</v>
      </c>
      <c r="C393" s="132"/>
      <c r="D393" s="229" t="s">
        <v>301</v>
      </c>
      <c r="E393" s="163">
        <f>'Rekapitulacija Posebni dio'!C161</f>
        <v>0</v>
      </c>
      <c r="F393" s="163">
        <f>'Rekapitulacija Posebni dio'!D161</f>
        <v>0</v>
      </c>
      <c r="G393" s="163">
        <f>'Rekapitulacija Posebni dio'!E161</f>
        <v>0</v>
      </c>
      <c r="H393" s="163">
        <f>'Rekapitulacija Posebni dio'!F161</f>
        <v>0</v>
      </c>
      <c r="I393" s="163">
        <f>'Rekapitulacija Posebni dio'!G161</f>
        <v>0</v>
      </c>
    </row>
    <row r="394" spans="1:9" s="118" customFormat="1" hidden="1" x14ac:dyDescent="0.25">
      <c r="A394" s="217"/>
      <c r="B394" s="165">
        <v>36</v>
      </c>
      <c r="C394" s="230"/>
      <c r="D394" s="231" t="s">
        <v>159</v>
      </c>
      <c r="E394" s="168">
        <f t="shared" ref="E394:I394" si="182">E395</f>
        <v>0</v>
      </c>
      <c r="F394" s="168">
        <f t="shared" si="182"/>
        <v>0</v>
      </c>
      <c r="G394" s="168">
        <f t="shared" si="182"/>
        <v>0</v>
      </c>
      <c r="H394" s="168">
        <f t="shared" si="182"/>
        <v>0</v>
      </c>
      <c r="I394" s="168">
        <f t="shared" si="182"/>
        <v>0</v>
      </c>
    </row>
    <row r="395" spans="1:9" s="118" customFormat="1" hidden="1" x14ac:dyDescent="0.25">
      <c r="A395" s="217"/>
      <c r="B395" s="169">
        <v>369</v>
      </c>
      <c r="C395" s="151"/>
      <c r="D395" s="232" t="s">
        <v>38</v>
      </c>
      <c r="E395" s="155">
        <f t="shared" ref="E395" si="183">SUM(E397,E396)</f>
        <v>0</v>
      </c>
      <c r="F395" s="155">
        <f t="shared" ref="F395:I395" si="184">SUM(F397,F396)</f>
        <v>0</v>
      </c>
      <c r="G395" s="155">
        <f t="shared" si="184"/>
        <v>0</v>
      </c>
      <c r="H395" s="155">
        <f t="shared" si="184"/>
        <v>0</v>
      </c>
      <c r="I395" s="155">
        <f t="shared" si="184"/>
        <v>0</v>
      </c>
    </row>
    <row r="396" spans="1:9" s="118" customFormat="1" hidden="1" x14ac:dyDescent="0.25">
      <c r="A396" s="217"/>
      <c r="B396" s="169">
        <v>3691</v>
      </c>
      <c r="C396" s="151"/>
      <c r="D396" s="232" t="s">
        <v>160</v>
      </c>
      <c r="E396" s="163"/>
      <c r="F396" s="163"/>
      <c r="G396" s="163"/>
      <c r="H396" s="163"/>
      <c r="I396" s="163"/>
    </row>
    <row r="397" spans="1:9" s="118" customFormat="1" hidden="1" x14ac:dyDescent="0.25">
      <c r="A397" s="217"/>
      <c r="B397" s="169">
        <v>3692</v>
      </c>
      <c r="C397" s="151"/>
      <c r="D397" s="232" t="s">
        <v>161</v>
      </c>
      <c r="E397" s="163"/>
      <c r="F397" s="163"/>
      <c r="G397" s="163"/>
      <c r="H397" s="163"/>
      <c r="I397" s="163"/>
    </row>
    <row r="398" spans="1:9" s="118" customFormat="1" x14ac:dyDescent="0.25">
      <c r="A398" s="217"/>
      <c r="B398" s="165">
        <v>37</v>
      </c>
      <c r="C398" s="230"/>
      <c r="D398" s="338" t="s">
        <v>162</v>
      </c>
      <c r="E398" s="168">
        <f t="shared" ref="E398:I399" si="185">SUM(E399)</f>
        <v>0</v>
      </c>
      <c r="F398" s="168">
        <f t="shared" si="185"/>
        <v>0</v>
      </c>
      <c r="G398" s="168">
        <f t="shared" si="185"/>
        <v>1500</v>
      </c>
      <c r="H398" s="168">
        <f t="shared" si="185"/>
        <v>1500</v>
      </c>
      <c r="I398" s="168">
        <f t="shared" si="185"/>
        <v>1500</v>
      </c>
    </row>
    <row r="399" spans="1:9" s="118" customFormat="1" x14ac:dyDescent="0.25">
      <c r="A399" s="217"/>
      <c r="B399" s="169">
        <v>372</v>
      </c>
      <c r="C399" s="151"/>
      <c r="D399" s="339" t="s">
        <v>163</v>
      </c>
      <c r="E399" s="155">
        <f t="shared" si="185"/>
        <v>0</v>
      </c>
      <c r="F399" s="155">
        <f t="shared" si="185"/>
        <v>0</v>
      </c>
      <c r="G399" s="155">
        <f t="shared" si="185"/>
        <v>1500</v>
      </c>
      <c r="H399" s="155">
        <f t="shared" si="185"/>
        <v>1500</v>
      </c>
      <c r="I399" s="155">
        <f t="shared" si="185"/>
        <v>1500</v>
      </c>
    </row>
    <row r="400" spans="1:9" s="118" customFormat="1" x14ac:dyDescent="0.25">
      <c r="A400" s="217"/>
      <c r="B400" s="169">
        <v>3721</v>
      </c>
      <c r="C400" s="151"/>
      <c r="D400" s="339" t="s">
        <v>164</v>
      </c>
      <c r="E400" s="155">
        <f t="shared" ref="E400" si="186">SUM(E401:E402)</f>
        <v>0</v>
      </c>
      <c r="F400" s="155">
        <f t="shared" ref="F400:I400" si="187">SUM(F401:F402)</f>
        <v>0</v>
      </c>
      <c r="G400" s="155">
        <f t="shared" si="187"/>
        <v>1500</v>
      </c>
      <c r="H400" s="155">
        <f t="shared" si="187"/>
        <v>1500</v>
      </c>
      <c r="I400" s="155">
        <f t="shared" si="187"/>
        <v>1500</v>
      </c>
    </row>
    <row r="401" spans="1:9" s="118" customFormat="1" x14ac:dyDescent="0.25">
      <c r="A401" s="217"/>
      <c r="B401" s="337">
        <v>37212</v>
      </c>
      <c r="C401" s="151"/>
      <c r="D401" s="336" t="s">
        <v>511</v>
      </c>
      <c r="E401" s="163">
        <f>'Rekapitulacija Posebni dio'!C168</f>
        <v>0</v>
      </c>
      <c r="F401" s="163">
        <f>'Rekapitulacija Posebni dio'!D168</f>
        <v>0</v>
      </c>
      <c r="G401" s="163">
        <f>'Rekapitulacija Posebni dio'!E168</f>
        <v>1000</v>
      </c>
      <c r="H401" s="163">
        <f>'Rekapitulacija Posebni dio'!F168</f>
        <v>1000</v>
      </c>
      <c r="I401" s="163">
        <f>'Rekapitulacija Posebni dio'!G168</f>
        <v>1000</v>
      </c>
    </row>
    <row r="402" spans="1:9" s="118" customFormat="1" x14ac:dyDescent="0.25">
      <c r="A402" s="217"/>
      <c r="B402" s="337">
        <v>37215</v>
      </c>
      <c r="C402" s="132"/>
      <c r="D402" s="336" t="s">
        <v>463</v>
      </c>
      <c r="E402" s="163">
        <f>'Rekapitulacija Posebni dio'!C169</f>
        <v>0</v>
      </c>
      <c r="F402" s="163">
        <f>'Rekapitulacija Posebni dio'!D169</f>
        <v>0</v>
      </c>
      <c r="G402" s="163">
        <f>'Rekapitulacija Posebni dio'!E169</f>
        <v>500</v>
      </c>
      <c r="H402" s="163">
        <f>'Rekapitulacija Posebni dio'!F169</f>
        <v>500</v>
      </c>
      <c r="I402" s="163">
        <f>'Rekapitulacija Posebni dio'!G169</f>
        <v>500</v>
      </c>
    </row>
    <row r="403" spans="1:9" s="118" customFormat="1" x14ac:dyDescent="0.25">
      <c r="A403" s="217"/>
      <c r="B403" s="133" t="s">
        <v>165</v>
      </c>
      <c r="C403" s="203"/>
      <c r="D403" s="216" t="s">
        <v>98</v>
      </c>
      <c r="E403" s="168">
        <f t="shared" ref="E403" si="188">E406+E404+E412</f>
        <v>0</v>
      </c>
      <c r="F403" s="168">
        <f t="shared" ref="F403:I403" si="189">F406+F404+F412</f>
        <v>0</v>
      </c>
      <c r="G403" s="168">
        <f t="shared" si="189"/>
        <v>2000</v>
      </c>
      <c r="H403" s="168">
        <f t="shared" si="189"/>
        <v>500</v>
      </c>
      <c r="I403" s="168">
        <f t="shared" si="189"/>
        <v>500</v>
      </c>
    </row>
    <row r="404" spans="1:9" s="118" customFormat="1" hidden="1" x14ac:dyDescent="0.25">
      <c r="A404" s="217"/>
      <c r="B404" s="152" t="s">
        <v>166</v>
      </c>
      <c r="C404" s="192"/>
      <c r="D404" s="236" t="s">
        <v>167</v>
      </c>
      <c r="E404" s="155">
        <f t="shared" ref="E404:I404" si="190">E405</f>
        <v>0</v>
      </c>
      <c r="F404" s="155">
        <f t="shared" si="190"/>
        <v>0</v>
      </c>
      <c r="G404" s="155">
        <f t="shared" si="190"/>
        <v>0</v>
      </c>
      <c r="H404" s="155">
        <f t="shared" si="190"/>
        <v>0</v>
      </c>
      <c r="I404" s="155">
        <f t="shared" si="190"/>
        <v>0</v>
      </c>
    </row>
    <row r="405" spans="1:9" s="118" customFormat="1" hidden="1" x14ac:dyDescent="0.25">
      <c r="A405" s="217"/>
      <c r="B405" s="152" t="s">
        <v>168</v>
      </c>
      <c r="C405" s="192"/>
      <c r="D405" s="236" t="s">
        <v>167</v>
      </c>
      <c r="E405" s="163"/>
      <c r="F405" s="163"/>
      <c r="G405" s="163"/>
      <c r="H405" s="163"/>
      <c r="I405" s="163"/>
    </row>
    <row r="406" spans="1:9" s="118" customFormat="1" x14ac:dyDescent="0.25">
      <c r="A406" s="217"/>
      <c r="B406" s="169">
        <v>383</v>
      </c>
      <c r="C406" s="151"/>
      <c r="D406" s="232" t="s">
        <v>169</v>
      </c>
      <c r="E406" s="155">
        <f t="shared" ref="E406" si="191">E407+E408+E409+E411</f>
        <v>0</v>
      </c>
      <c r="F406" s="155">
        <f t="shared" ref="F406:I406" si="192">F407+F408+F409+F411</f>
        <v>0</v>
      </c>
      <c r="G406" s="155">
        <f t="shared" si="192"/>
        <v>2000</v>
      </c>
      <c r="H406" s="155">
        <f t="shared" si="192"/>
        <v>500</v>
      </c>
      <c r="I406" s="155">
        <f t="shared" si="192"/>
        <v>500</v>
      </c>
    </row>
    <row r="407" spans="1:9" s="118" customFormat="1" hidden="1" x14ac:dyDescent="0.25">
      <c r="A407" s="217"/>
      <c r="B407" s="169">
        <v>3831</v>
      </c>
      <c r="C407" s="151"/>
      <c r="D407" s="232" t="s">
        <v>170</v>
      </c>
      <c r="E407" s="163"/>
      <c r="F407" s="163"/>
      <c r="G407" s="163"/>
      <c r="H407" s="163"/>
      <c r="I407" s="163"/>
    </row>
    <row r="408" spans="1:9" s="118" customFormat="1" hidden="1" x14ac:dyDescent="0.25">
      <c r="A408" s="217"/>
      <c r="B408" s="169">
        <v>3833</v>
      </c>
      <c r="C408" s="151"/>
      <c r="D408" s="232" t="s">
        <v>171</v>
      </c>
      <c r="E408" s="163"/>
      <c r="F408" s="163"/>
      <c r="G408" s="163"/>
      <c r="H408" s="163"/>
      <c r="I408" s="163"/>
    </row>
    <row r="409" spans="1:9" s="118" customFormat="1" x14ac:dyDescent="0.25">
      <c r="A409" s="217"/>
      <c r="B409" s="169">
        <v>3834</v>
      </c>
      <c r="C409" s="151"/>
      <c r="D409" s="232" t="s">
        <v>172</v>
      </c>
      <c r="E409" s="155">
        <f t="shared" ref="E409:I409" si="193">SUM(E410)</f>
        <v>0</v>
      </c>
      <c r="F409" s="155">
        <f t="shared" si="193"/>
        <v>0</v>
      </c>
      <c r="G409" s="155">
        <f t="shared" si="193"/>
        <v>2000</v>
      </c>
      <c r="H409" s="155">
        <f t="shared" si="193"/>
        <v>500</v>
      </c>
      <c r="I409" s="155">
        <f t="shared" si="193"/>
        <v>500</v>
      </c>
    </row>
    <row r="410" spans="1:9" s="118" customFormat="1" x14ac:dyDescent="0.25">
      <c r="A410" s="217"/>
      <c r="B410" s="184">
        <v>38341</v>
      </c>
      <c r="C410" s="132"/>
      <c r="D410" s="229" t="s">
        <v>172</v>
      </c>
      <c r="E410" s="163">
        <f>'Rekapitulacija Posebni dio'!C177</f>
        <v>0</v>
      </c>
      <c r="F410" s="163">
        <f>'Rekapitulacija Posebni dio'!D177</f>
        <v>0</v>
      </c>
      <c r="G410" s="163">
        <f>'Rekapitulacija Posebni dio'!E177</f>
        <v>2000</v>
      </c>
      <c r="H410" s="163">
        <f>'Rekapitulacija Posebni dio'!F177</f>
        <v>500</v>
      </c>
      <c r="I410" s="163">
        <f>'Rekapitulacija Posebni dio'!G177</f>
        <v>500</v>
      </c>
    </row>
    <row r="411" spans="1:9" s="118" customFormat="1" hidden="1" x14ac:dyDescent="0.25">
      <c r="A411" s="217"/>
      <c r="B411" s="169">
        <v>3835</v>
      </c>
      <c r="C411" s="151"/>
      <c r="D411" s="232" t="s">
        <v>173</v>
      </c>
      <c r="E411" s="163"/>
      <c r="F411" s="163"/>
      <c r="G411" s="163"/>
      <c r="H411" s="163"/>
      <c r="I411" s="163"/>
    </row>
    <row r="412" spans="1:9" s="118" customFormat="1" hidden="1" x14ac:dyDescent="0.25">
      <c r="A412" s="217"/>
      <c r="B412" s="340">
        <v>385</v>
      </c>
      <c r="C412" s="341"/>
      <c r="D412" s="341" t="s">
        <v>308</v>
      </c>
      <c r="E412" s="155">
        <f t="shared" ref="E412:I412" si="194">E413</f>
        <v>0</v>
      </c>
      <c r="F412" s="155">
        <f t="shared" si="194"/>
        <v>0</v>
      </c>
      <c r="G412" s="155">
        <f t="shared" si="194"/>
        <v>0</v>
      </c>
      <c r="H412" s="155">
        <f t="shared" si="194"/>
        <v>0</v>
      </c>
      <c r="I412" s="155">
        <f t="shared" si="194"/>
        <v>0</v>
      </c>
    </row>
    <row r="413" spans="1:9" s="118" customFormat="1" hidden="1" x14ac:dyDescent="0.25">
      <c r="A413" s="217"/>
      <c r="B413" s="340">
        <v>3859</v>
      </c>
      <c r="C413" s="341"/>
      <c r="D413" s="341" t="s">
        <v>308</v>
      </c>
      <c r="E413" s="163"/>
      <c r="F413" s="163"/>
      <c r="G413" s="163"/>
      <c r="H413" s="163"/>
      <c r="I413" s="163"/>
    </row>
    <row r="414" spans="1:9" s="118" customFormat="1" x14ac:dyDescent="0.25">
      <c r="A414" s="238">
        <v>4</v>
      </c>
      <c r="B414" s="239"/>
      <c r="C414" s="240"/>
      <c r="D414" s="241" t="s">
        <v>174</v>
      </c>
      <c r="E414" s="202">
        <f t="shared" ref="E414" si="195">E415+E420+E442</f>
        <v>0</v>
      </c>
      <c r="F414" s="202">
        <f t="shared" ref="F414:I414" si="196">F415+F420+F442</f>
        <v>0</v>
      </c>
      <c r="G414" s="202">
        <f t="shared" si="196"/>
        <v>85372.28</v>
      </c>
      <c r="H414" s="202">
        <f t="shared" si="196"/>
        <v>88322.28</v>
      </c>
      <c r="I414" s="202">
        <f t="shared" si="196"/>
        <v>91272.28</v>
      </c>
    </row>
    <row r="415" spans="1:9" s="118" customFormat="1" hidden="1" x14ac:dyDescent="0.25">
      <c r="A415" s="157"/>
      <c r="B415" s="133" t="s">
        <v>175</v>
      </c>
      <c r="C415" s="203"/>
      <c r="D415" s="242" t="s">
        <v>176</v>
      </c>
      <c r="E415" s="168">
        <f t="shared" ref="E415" si="197">SUM(E418)</f>
        <v>0</v>
      </c>
      <c r="F415" s="168">
        <f t="shared" ref="F415:I415" si="198">SUM(F418)</f>
        <v>0</v>
      </c>
      <c r="G415" s="168">
        <f t="shared" si="198"/>
        <v>0</v>
      </c>
      <c r="H415" s="168">
        <f t="shared" si="198"/>
        <v>0</v>
      </c>
      <c r="I415" s="168">
        <f t="shared" si="198"/>
        <v>0</v>
      </c>
    </row>
    <row r="416" spans="1:9" s="118" customFormat="1" hidden="1" x14ac:dyDescent="0.25">
      <c r="A416" s="157"/>
      <c r="B416" s="152" t="s">
        <v>177</v>
      </c>
      <c r="C416" s="192"/>
      <c r="D416" s="243" t="s">
        <v>178</v>
      </c>
      <c r="E416" s="155">
        <f t="shared" ref="E416:I416" si="199">SUM(E417)</f>
        <v>0</v>
      </c>
      <c r="F416" s="155">
        <f t="shared" si="199"/>
        <v>0</v>
      </c>
      <c r="G416" s="155">
        <f t="shared" si="199"/>
        <v>0</v>
      </c>
      <c r="H416" s="155">
        <f t="shared" si="199"/>
        <v>0</v>
      </c>
      <c r="I416" s="155">
        <f t="shared" si="199"/>
        <v>0</v>
      </c>
    </row>
    <row r="417" spans="1:9" s="118" customFormat="1" hidden="1" x14ac:dyDescent="0.25">
      <c r="A417" s="157"/>
      <c r="B417" s="152" t="s">
        <v>179</v>
      </c>
      <c r="C417" s="192"/>
      <c r="D417" s="243" t="s">
        <v>180</v>
      </c>
      <c r="E417" s="155"/>
      <c r="F417" s="155"/>
      <c r="G417" s="155"/>
      <c r="H417" s="155"/>
      <c r="I417" s="155"/>
    </row>
    <row r="418" spans="1:9" s="118" customFormat="1" hidden="1" x14ac:dyDescent="0.25">
      <c r="A418" s="157"/>
      <c r="B418" s="174">
        <v>412</v>
      </c>
      <c r="C418" s="156"/>
      <c r="D418" s="245" t="s">
        <v>181</v>
      </c>
      <c r="E418" s="155">
        <f t="shared" ref="E418:I418" si="200">SUM(E419)</f>
        <v>0</v>
      </c>
      <c r="F418" s="155">
        <f t="shared" si="200"/>
        <v>0</v>
      </c>
      <c r="G418" s="155">
        <f t="shared" si="200"/>
        <v>0</v>
      </c>
      <c r="H418" s="155">
        <f t="shared" si="200"/>
        <v>0</v>
      </c>
      <c r="I418" s="155">
        <f t="shared" si="200"/>
        <v>0</v>
      </c>
    </row>
    <row r="419" spans="1:9" s="118" customFormat="1" hidden="1" x14ac:dyDescent="0.25">
      <c r="A419" s="180"/>
      <c r="B419" s="174">
        <v>4123</v>
      </c>
      <c r="C419" s="156"/>
      <c r="D419" s="245" t="s">
        <v>182</v>
      </c>
      <c r="E419" s="155"/>
      <c r="F419" s="155"/>
      <c r="G419" s="155"/>
      <c r="H419" s="155"/>
      <c r="I419" s="155"/>
    </row>
    <row r="420" spans="1:9" s="118" customFormat="1" x14ac:dyDescent="0.25">
      <c r="A420" s="217"/>
      <c r="B420" s="133">
        <v>42</v>
      </c>
      <c r="C420" s="203"/>
      <c r="D420" s="216" t="s">
        <v>183</v>
      </c>
      <c r="E420" s="168">
        <f t="shared" ref="E420" si="201">SUM(E421,E437,E440)</f>
        <v>0</v>
      </c>
      <c r="F420" s="168">
        <f t="shared" ref="F420:I420" si="202">SUM(F421,F437,F440)</f>
        <v>0</v>
      </c>
      <c r="G420" s="168">
        <f t="shared" si="202"/>
        <v>75372.28</v>
      </c>
      <c r="H420" s="168">
        <f t="shared" si="202"/>
        <v>78322.28</v>
      </c>
      <c r="I420" s="168">
        <f t="shared" si="202"/>
        <v>81272.28</v>
      </c>
    </row>
    <row r="421" spans="1:9" s="118" customFormat="1" x14ac:dyDescent="0.25">
      <c r="A421" s="217"/>
      <c r="B421" s="152">
        <v>422</v>
      </c>
      <c r="C421" s="217"/>
      <c r="D421" s="192" t="s">
        <v>184</v>
      </c>
      <c r="E421" s="155">
        <f t="shared" ref="E421" si="203">E422+E427+E430+E433+E435</f>
        <v>0</v>
      </c>
      <c r="F421" s="155">
        <f t="shared" ref="F421:I421" si="204">F422+F427+F430+F433+F435</f>
        <v>0</v>
      </c>
      <c r="G421" s="155">
        <f t="shared" si="204"/>
        <v>68650</v>
      </c>
      <c r="H421" s="155">
        <f t="shared" si="204"/>
        <v>71600</v>
      </c>
      <c r="I421" s="155">
        <f t="shared" si="204"/>
        <v>74550</v>
      </c>
    </row>
    <row r="422" spans="1:9" s="118" customFormat="1" x14ac:dyDescent="0.25">
      <c r="A422" s="217"/>
      <c r="B422" s="152" t="s">
        <v>185</v>
      </c>
      <c r="C422" s="192"/>
      <c r="D422" s="192" t="s">
        <v>186</v>
      </c>
      <c r="E422" s="155">
        <f t="shared" ref="E422" si="205">SUM(E423:E425)</f>
        <v>0</v>
      </c>
      <c r="F422" s="155">
        <f t="shared" ref="F422:I422" si="206">SUM(F423:F425)</f>
        <v>0</v>
      </c>
      <c r="G422" s="155">
        <f t="shared" si="206"/>
        <v>7800</v>
      </c>
      <c r="H422" s="155">
        <f t="shared" si="206"/>
        <v>7800</v>
      </c>
      <c r="I422" s="155">
        <f t="shared" si="206"/>
        <v>7800</v>
      </c>
    </row>
    <row r="423" spans="1:9" s="118" customFormat="1" x14ac:dyDescent="0.25">
      <c r="A423" s="217"/>
      <c r="B423" s="218">
        <v>42211</v>
      </c>
      <c r="C423" s="192"/>
      <c r="D423" s="217" t="s">
        <v>464</v>
      </c>
      <c r="E423" s="163">
        <f>'Rekapitulacija Posebni dio'!C191</f>
        <v>0</v>
      </c>
      <c r="F423" s="163">
        <f>'Rekapitulacija Posebni dio'!D191</f>
        <v>0</v>
      </c>
      <c r="G423" s="163">
        <f>'Rekapitulacija Posebni dio'!E191</f>
        <v>1000</v>
      </c>
      <c r="H423" s="163">
        <f>'Rekapitulacija Posebni dio'!F191</f>
        <v>1000</v>
      </c>
      <c r="I423" s="163">
        <f>'Rekapitulacija Posebni dio'!G191</f>
        <v>1000</v>
      </c>
    </row>
    <row r="424" spans="1:9" s="118" customFormat="1" x14ac:dyDescent="0.25">
      <c r="A424" s="217"/>
      <c r="B424" s="218">
        <v>42212</v>
      </c>
      <c r="C424" s="192"/>
      <c r="D424" s="217" t="s">
        <v>465</v>
      </c>
      <c r="E424" s="163">
        <f>'Rekapitulacija Posebni dio'!C192</f>
        <v>0</v>
      </c>
      <c r="F424" s="163">
        <f>'Rekapitulacija Posebni dio'!D192</f>
        <v>0</v>
      </c>
      <c r="G424" s="163">
        <f>'Rekapitulacija Posebni dio'!E192</f>
        <v>6000</v>
      </c>
      <c r="H424" s="163">
        <f>'Rekapitulacija Posebni dio'!F192</f>
        <v>6000</v>
      </c>
      <c r="I424" s="163">
        <f>'Rekapitulacija Posebni dio'!G192</f>
        <v>6000</v>
      </c>
    </row>
    <row r="425" spans="1:9" s="118" customFormat="1" x14ac:dyDescent="0.25">
      <c r="A425" s="217"/>
      <c r="B425" s="218" t="s">
        <v>549</v>
      </c>
      <c r="C425" s="217"/>
      <c r="D425" s="217" t="s">
        <v>466</v>
      </c>
      <c r="E425" s="163">
        <f>'Rekapitulacija Posebni dio'!C193</f>
        <v>0</v>
      </c>
      <c r="F425" s="163">
        <f>'Rekapitulacija Posebni dio'!D193</f>
        <v>0</v>
      </c>
      <c r="G425" s="163">
        <f>'Rekapitulacija Posebni dio'!E193</f>
        <v>800</v>
      </c>
      <c r="H425" s="163">
        <f>'Rekapitulacija Posebni dio'!F193</f>
        <v>800</v>
      </c>
      <c r="I425" s="163">
        <f>'Rekapitulacija Posebni dio'!G193</f>
        <v>800</v>
      </c>
    </row>
    <row r="426" spans="1:9" s="118" customFormat="1" hidden="1" x14ac:dyDescent="0.25">
      <c r="A426" s="217"/>
      <c r="B426" s="152" t="s">
        <v>187</v>
      </c>
      <c r="C426" s="192"/>
      <c r="D426" s="192" t="s">
        <v>188</v>
      </c>
      <c r="E426" s="155"/>
      <c r="F426" s="155"/>
      <c r="G426" s="155"/>
      <c r="H426" s="155"/>
      <c r="I426" s="155"/>
    </row>
    <row r="427" spans="1:9" s="118" customFormat="1" x14ac:dyDescent="0.25">
      <c r="A427" s="217"/>
      <c r="B427" s="174">
        <v>4223</v>
      </c>
      <c r="C427" s="156"/>
      <c r="D427" s="245" t="s">
        <v>189</v>
      </c>
      <c r="E427" s="155">
        <f t="shared" ref="E427" si="207">SUM(E428:E429)</f>
        <v>0</v>
      </c>
      <c r="F427" s="155">
        <f t="shared" ref="F427:I427" si="208">SUM(F428:F429)</f>
        <v>0</v>
      </c>
      <c r="G427" s="155">
        <f t="shared" si="208"/>
        <v>7350</v>
      </c>
      <c r="H427" s="155">
        <f t="shared" si="208"/>
        <v>7850</v>
      </c>
      <c r="I427" s="155">
        <f t="shared" si="208"/>
        <v>8350</v>
      </c>
    </row>
    <row r="428" spans="1:9" s="118" customFormat="1" x14ac:dyDescent="0.25">
      <c r="A428" s="217"/>
      <c r="B428" s="218" t="s">
        <v>527</v>
      </c>
      <c r="C428" s="217"/>
      <c r="D428" s="331" t="s">
        <v>468</v>
      </c>
      <c r="E428" s="163">
        <f>'Rekapitulacija Posebni dio'!C196</f>
        <v>0</v>
      </c>
      <c r="F428" s="163">
        <f>'Rekapitulacija Posebni dio'!D196</f>
        <v>0</v>
      </c>
      <c r="G428" s="163">
        <f>'Rekapitulacija Posebni dio'!E196</f>
        <v>7000</v>
      </c>
      <c r="H428" s="163">
        <f>'Rekapitulacija Posebni dio'!F196</f>
        <v>7500</v>
      </c>
      <c r="I428" s="163">
        <f>'Rekapitulacija Posebni dio'!G196</f>
        <v>8000</v>
      </c>
    </row>
    <row r="429" spans="1:9" s="118" customFormat="1" x14ac:dyDescent="0.25">
      <c r="A429" s="180"/>
      <c r="B429" s="177">
        <v>42232</v>
      </c>
      <c r="C429" s="160"/>
      <c r="D429" s="342" t="s">
        <v>467</v>
      </c>
      <c r="E429" s="163">
        <f>'Rekapitulacija Posebni dio'!C197</f>
        <v>0</v>
      </c>
      <c r="F429" s="163">
        <f>'Rekapitulacija Posebni dio'!D197</f>
        <v>0</v>
      </c>
      <c r="G429" s="163">
        <f>'Rekapitulacija Posebni dio'!E197</f>
        <v>350</v>
      </c>
      <c r="H429" s="163">
        <f>'Rekapitulacija Posebni dio'!F197</f>
        <v>350</v>
      </c>
      <c r="I429" s="163">
        <f>'Rekapitulacija Posebni dio'!G197</f>
        <v>350</v>
      </c>
    </row>
    <row r="430" spans="1:9" s="118" customFormat="1" x14ac:dyDescent="0.25">
      <c r="A430" s="180"/>
      <c r="B430" s="174">
        <v>4224</v>
      </c>
      <c r="C430" s="156"/>
      <c r="D430" s="245" t="s">
        <v>190</v>
      </c>
      <c r="E430" s="155">
        <f t="shared" ref="E430" si="209">SUM(E431:E432)</f>
        <v>0</v>
      </c>
      <c r="F430" s="155">
        <f t="shared" ref="F430:I430" si="210">SUM(F431:F432)</f>
        <v>0</v>
      </c>
      <c r="G430" s="155">
        <f t="shared" si="210"/>
        <v>46500</v>
      </c>
      <c r="H430" s="155">
        <f t="shared" si="210"/>
        <v>48600</v>
      </c>
      <c r="I430" s="155">
        <f t="shared" si="210"/>
        <v>50700</v>
      </c>
    </row>
    <row r="431" spans="1:9" s="118" customFormat="1" x14ac:dyDescent="0.25">
      <c r="A431" s="180"/>
      <c r="B431" s="177">
        <v>42241</v>
      </c>
      <c r="C431" s="160"/>
      <c r="D431" s="246" t="s">
        <v>469</v>
      </c>
      <c r="E431" s="163">
        <f>'Rekapitulacija Posebni dio'!C199</f>
        <v>0</v>
      </c>
      <c r="F431" s="163">
        <f>'Rekapitulacija Posebni dio'!D199</f>
        <v>0</v>
      </c>
      <c r="G431" s="163">
        <f>'Rekapitulacija Posebni dio'!E199</f>
        <v>45000</v>
      </c>
      <c r="H431" s="163">
        <f>'Rekapitulacija Posebni dio'!F199</f>
        <v>47000</v>
      </c>
      <c r="I431" s="163">
        <f>'Rekapitulacija Posebni dio'!G199</f>
        <v>49000</v>
      </c>
    </row>
    <row r="432" spans="1:9" s="118" customFormat="1" x14ac:dyDescent="0.25">
      <c r="A432" s="180"/>
      <c r="B432" s="177">
        <v>42242</v>
      </c>
      <c r="C432" s="160"/>
      <c r="D432" s="246" t="s">
        <v>470</v>
      </c>
      <c r="E432" s="163">
        <f>'Rekapitulacija Posebni dio'!C200</f>
        <v>0</v>
      </c>
      <c r="F432" s="163">
        <f>'Rekapitulacija Posebni dio'!D200</f>
        <v>0</v>
      </c>
      <c r="G432" s="163">
        <f>'Rekapitulacija Posebni dio'!E200</f>
        <v>1500</v>
      </c>
      <c r="H432" s="163">
        <f>'Rekapitulacija Posebni dio'!F200</f>
        <v>1600</v>
      </c>
      <c r="I432" s="163">
        <f>'Rekapitulacija Posebni dio'!G200</f>
        <v>1700</v>
      </c>
    </row>
    <row r="433" spans="1:9" s="118" customFormat="1" x14ac:dyDescent="0.25">
      <c r="A433" s="180"/>
      <c r="B433" s="174">
        <v>4225</v>
      </c>
      <c r="C433" s="156"/>
      <c r="D433" s="245" t="s">
        <v>191</v>
      </c>
      <c r="E433" s="155">
        <f t="shared" ref="E433:I433" si="211">SUM(E434)</f>
        <v>0</v>
      </c>
      <c r="F433" s="155">
        <f t="shared" si="211"/>
        <v>0</v>
      </c>
      <c r="G433" s="155">
        <f t="shared" si="211"/>
        <v>5000</v>
      </c>
      <c r="H433" s="155">
        <f t="shared" si="211"/>
        <v>5150</v>
      </c>
      <c r="I433" s="155">
        <f t="shared" si="211"/>
        <v>5300</v>
      </c>
    </row>
    <row r="434" spans="1:9" s="118" customFormat="1" x14ac:dyDescent="0.25">
      <c r="A434" s="180"/>
      <c r="B434" s="177">
        <v>42251</v>
      </c>
      <c r="C434" s="160"/>
      <c r="D434" s="246" t="s">
        <v>676</v>
      </c>
      <c r="E434" s="163">
        <f>'Rekapitulacija Posebni dio'!C202</f>
        <v>0</v>
      </c>
      <c r="F434" s="163">
        <f>'Rekapitulacija Posebni dio'!D202</f>
        <v>0</v>
      </c>
      <c r="G434" s="163">
        <f>'Rekapitulacija Posebni dio'!E202</f>
        <v>5000</v>
      </c>
      <c r="H434" s="163">
        <f>'Rekapitulacija Posebni dio'!F202</f>
        <v>5150</v>
      </c>
      <c r="I434" s="163">
        <f>'Rekapitulacija Posebni dio'!G202</f>
        <v>5300</v>
      </c>
    </row>
    <row r="435" spans="1:9" s="118" customFormat="1" x14ac:dyDescent="0.25">
      <c r="A435" s="180"/>
      <c r="B435" s="174">
        <v>4227</v>
      </c>
      <c r="C435" s="156"/>
      <c r="D435" s="245" t="s">
        <v>192</v>
      </c>
      <c r="E435" s="155">
        <f t="shared" ref="E435:I435" si="212">SUM(E436)</f>
        <v>0</v>
      </c>
      <c r="F435" s="155">
        <f t="shared" si="212"/>
        <v>0</v>
      </c>
      <c r="G435" s="155">
        <f t="shared" si="212"/>
        <v>2000</v>
      </c>
      <c r="H435" s="155">
        <f t="shared" si="212"/>
        <v>2200</v>
      </c>
      <c r="I435" s="155">
        <f t="shared" si="212"/>
        <v>2400</v>
      </c>
    </row>
    <row r="436" spans="1:9" s="118" customFormat="1" x14ac:dyDescent="0.25">
      <c r="A436" s="180"/>
      <c r="B436" s="177">
        <v>42271</v>
      </c>
      <c r="C436" s="160"/>
      <c r="D436" s="246" t="s">
        <v>677</v>
      </c>
      <c r="E436" s="163">
        <f>'Rekapitulacija Posebni dio'!C204</f>
        <v>0</v>
      </c>
      <c r="F436" s="163">
        <f>'Rekapitulacija Posebni dio'!D204</f>
        <v>0</v>
      </c>
      <c r="G436" s="163">
        <f>'Rekapitulacija Posebni dio'!E204</f>
        <v>2000</v>
      </c>
      <c r="H436" s="163">
        <f>'Rekapitulacija Posebni dio'!F204</f>
        <v>2200</v>
      </c>
      <c r="I436" s="163">
        <f>'Rekapitulacija Posebni dio'!G204</f>
        <v>2400</v>
      </c>
    </row>
    <row r="437" spans="1:9" s="131" customFormat="1" x14ac:dyDescent="0.25">
      <c r="A437" s="157"/>
      <c r="B437" s="174">
        <v>423</v>
      </c>
      <c r="C437" s="156"/>
      <c r="D437" s="245" t="s">
        <v>193</v>
      </c>
      <c r="E437" s="155">
        <f t="shared" ref="E437:I437" si="213">E438</f>
        <v>0</v>
      </c>
      <c r="F437" s="155">
        <f t="shared" si="213"/>
        <v>0</v>
      </c>
      <c r="G437" s="155">
        <f t="shared" si="213"/>
        <v>6722.28</v>
      </c>
      <c r="H437" s="155">
        <f t="shared" si="213"/>
        <v>6722.28</v>
      </c>
      <c r="I437" s="155">
        <f t="shared" si="213"/>
        <v>6722.28</v>
      </c>
    </row>
    <row r="438" spans="1:9" s="131" customFormat="1" x14ac:dyDescent="0.25">
      <c r="A438" s="157"/>
      <c r="B438" s="174">
        <v>4231</v>
      </c>
      <c r="C438" s="156"/>
      <c r="D438" s="245" t="s">
        <v>193</v>
      </c>
      <c r="E438" s="155">
        <f t="shared" ref="E438:I438" si="214">SUM(E439)</f>
        <v>0</v>
      </c>
      <c r="F438" s="155">
        <f t="shared" si="214"/>
        <v>0</v>
      </c>
      <c r="G438" s="155">
        <f t="shared" si="214"/>
        <v>6722.28</v>
      </c>
      <c r="H438" s="155">
        <f t="shared" si="214"/>
        <v>6722.28</v>
      </c>
      <c r="I438" s="155">
        <f t="shared" si="214"/>
        <v>6722.28</v>
      </c>
    </row>
    <row r="439" spans="1:9" s="118" customFormat="1" x14ac:dyDescent="0.25">
      <c r="A439" s="180"/>
      <c r="B439" s="177">
        <v>42311</v>
      </c>
      <c r="C439" s="160"/>
      <c r="D439" s="246" t="s">
        <v>471</v>
      </c>
      <c r="E439" s="163">
        <f>'Rekapitulacija Posebni dio'!C207</f>
        <v>0</v>
      </c>
      <c r="F439" s="163">
        <f>'Rekapitulacija Posebni dio'!D207</f>
        <v>0</v>
      </c>
      <c r="G439" s="163">
        <f>'Rekapitulacija Posebni dio'!E207</f>
        <v>6722.28</v>
      </c>
      <c r="H439" s="163">
        <f>'Rekapitulacija Posebni dio'!F207</f>
        <v>6722.28</v>
      </c>
      <c r="I439" s="163">
        <f>'Rekapitulacija Posebni dio'!G207</f>
        <v>6722.28</v>
      </c>
    </row>
    <row r="440" spans="1:9" s="131" customFormat="1" hidden="1" x14ac:dyDescent="0.25">
      <c r="A440" s="157"/>
      <c r="B440" s="174">
        <v>426</v>
      </c>
      <c r="C440" s="156"/>
      <c r="D440" s="245" t="s">
        <v>194</v>
      </c>
      <c r="E440" s="155">
        <f t="shared" ref="E440:I440" si="215">E441</f>
        <v>0</v>
      </c>
      <c r="F440" s="155">
        <f t="shared" si="215"/>
        <v>0</v>
      </c>
      <c r="G440" s="155">
        <f t="shared" si="215"/>
        <v>0</v>
      </c>
      <c r="H440" s="155">
        <f t="shared" si="215"/>
        <v>0</v>
      </c>
      <c r="I440" s="155">
        <f t="shared" si="215"/>
        <v>0</v>
      </c>
    </row>
    <row r="441" spans="1:9" s="118" customFormat="1" hidden="1" x14ac:dyDescent="0.25">
      <c r="A441" s="180"/>
      <c r="B441" s="174">
        <v>4262</v>
      </c>
      <c r="C441" s="156"/>
      <c r="D441" s="245" t="s">
        <v>195</v>
      </c>
      <c r="E441" s="163"/>
      <c r="F441" s="163"/>
      <c r="G441" s="163"/>
      <c r="H441" s="163"/>
      <c r="I441" s="163"/>
    </row>
    <row r="442" spans="1:9" s="118" customFormat="1" x14ac:dyDescent="0.25">
      <c r="A442" s="180"/>
      <c r="B442" s="133" t="s">
        <v>196</v>
      </c>
      <c r="C442" s="203"/>
      <c r="D442" s="242" t="s">
        <v>199</v>
      </c>
      <c r="E442" s="168">
        <f t="shared" ref="E442" si="216">E443+E446</f>
        <v>0</v>
      </c>
      <c r="F442" s="168">
        <f t="shared" ref="F442:I442" si="217">F443+F446</f>
        <v>0</v>
      </c>
      <c r="G442" s="168">
        <f t="shared" si="217"/>
        <v>10000</v>
      </c>
      <c r="H442" s="168">
        <f t="shared" si="217"/>
        <v>10000</v>
      </c>
      <c r="I442" s="168">
        <f t="shared" si="217"/>
        <v>10000</v>
      </c>
    </row>
    <row r="443" spans="1:9" s="118" customFormat="1" x14ac:dyDescent="0.25">
      <c r="A443" s="180"/>
      <c r="B443" s="152" t="s">
        <v>198</v>
      </c>
      <c r="C443" s="217"/>
      <c r="D443" s="192" t="s">
        <v>207</v>
      </c>
      <c r="E443" s="155">
        <f t="shared" ref="E443:I444" si="218">SUM(E444)</f>
        <v>0</v>
      </c>
      <c r="F443" s="155">
        <f t="shared" si="218"/>
        <v>0</v>
      </c>
      <c r="G443" s="155">
        <f t="shared" si="218"/>
        <v>10000</v>
      </c>
      <c r="H443" s="155">
        <f t="shared" si="218"/>
        <v>10000</v>
      </c>
      <c r="I443" s="155">
        <f t="shared" si="218"/>
        <v>10000</v>
      </c>
    </row>
    <row r="444" spans="1:9" s="118" customFormat="1" x14ac:dyDescent="0.25">
      <c r="A444" s="180"/>
      <c r="B444" s="152" t="s">
        <v>200</v>
      </c>
      <c r="C444" s="192"/>
      <c r="D444" s="192" t="s">
        <v>199</v>
      </c>
      <c r="E444" s="155">
        <f t="shared" si="218"/>
        <v>0</v>
      </c>
      <c r="F444" s="155">
        <f t="shared" si="218"/>
        <v>0</v>
      </c>
      <c r="G444" s="155">
        <f t="shared" si="218"/>
        <v>10000</v>
      </c>
      <c r="H444" s="155">
        <f t="shared" si="218"/>
        <v>10000</v>
      </c>
      <c r="I444" s="155">
        <f t="shared" si="218"/>
        <v>10000</v>
      </c>
    </row>
    <row r="445" spans="1:9" s="118" customFormat="1" x14ac:dyDescent="0.25">
      <c r="A445" s="180"/>
      <c r="B445" s="218" t="s">
        <v>513</v>
      </c>
      <c r="C445" s="217"/>
      <c r="D445" s="217" t="s">
        <v>199</v>
      </c>
      <c r="E445" s="163">
        <f>'Rekapitulacija Posebni dio'!C213</f>
        <v>0</v>
      </c>
      <c r="F445" s="163">
        <f>'Rekapitulacija Posebni dio'!D213</f>
        <v>0</v>
      </c>
      <c r="G445" s="163">
        <f>'Rekapitulacija Posebni dio'!E213</f>
        <v>10000</v>
      </c>
      <c r="H445" s="163">
        <f>'Rekapitulacija Posebni dio'!F213</f>
        <v>10000</v>
      </c>
      <c r="I445" s="163">
        <f>'Rekapitulacija Posebni dio'!G213</f>
        <v>10000</v>
      </c>
    </row>
    <row r="446" spans="1:9" s="118" customFormat="1" hidden="1" x14ac:dyDescent="0.25">
      <c r="A446" s="180"/>
      <c r="B446" s="152" t="s">
        <v>201</v>
      </c>
      <c r="C446" s="192"/>
      <c r="D446" s="192" t="s">
        <v>202</v>
      </c>
      <c r="E446" s="155">
        <f t="shared" ref="E446:I446" si="219">E447</f>
        <v>0</v>
      </c>
      <c r="F446" s="155">
        <f t="shared" si="219"/>
        <v>0</v>
      </c>
      <c r="G446" s="155">
        <f t="shared" si="219"/>
        <v>0</v>
      </c>
      <c r="H446" s="155">
        <f t="shared" si="219"/>
        <v>0</v>
      </c>
      <c r="I446" s="155">
        <f t="shared" si="219"/>
        <v>0</v>
      </c>
    </row>
    <row r="447" spans="1:9" s="118" customFormat="1" hidden="1" x14ac:dyDescent="0.25">
      <c r="A447" s="157"/>
      <c r="B447" s="152" t="s">
        <v>203</v>
      </c>
      <c r="C447" s="192"/>
      <c r="D447" s="192" t="s">
        <v>204</v>
      </c>
      <c r="E447" s="163"/>
      <c r="F447" s="163"/>
      <c r="G447" s="163"/>
      <c r="H447" s="163"/>
      <c r="I447" s="163"/>
    </row>
    <row r="448" spans="1:9" s="118" customFormat="1" x14ac:dyDescent="0.25">
      <c r="A448" s="247"/>
      <c r="B448" s="248"/>
      <c r="C448" s="529">
        <v>43</v>
      </c>
      <c r="D448" s="148" t="s">
        <v>56</v>
      </c>
      <c r="E448" s="249">
        <f t="shared" ref="E448" si="220">E414+E241</f>
        <v>0</v>
      </c>
      <c r="F448" s="249">
        <f t="shared" ref="F448:I448" si="221">F414+F241</f>
        <v>0</v>
      </c>
      <c r="G448" s="249">
        <f t="shared" si="221"/>
        <v>21410157.050000001</v>
      </c>
      <c r="H448" s="249">
        <f t="shared" si="221"/>
        <v>21715388.41</v>
      </c>
      <c r="I448" s="249">
        <f t="shared" si="221"/>
        <v>22025967.890000001</v>
      </c>
    </row>
    <row r="449" spans="1:9" s="118" customFormat="1" x14ac:dyDescent="0.25">
      <c r="A449" s="247"/>
      <c r="B449" s="248"/>
      <c r="C449" s="529">
        <v>4</v>
      </c>
      <c r="D449" s="148" t="s">
        <v>715</v>
      </c>
      <c r="E449" s="249"/>
      <c r="F449" s="249"/>
      <c r="G449" s="249">
        <f>G448</f>
        <v>21410157.050000001</v>
      </c>
      <c r="H449" s="249">
        <f t="shared" ref="H449:I449" si="222">H448</f>
        <v>21715388.41</v>
      </c>
      <c r="I449" s="249">
        <f t="shared" si="222"/>
        <v>22025967.890000001</v>
      </c>
    </row>
    <row r="450" spans="1:9" x14ac:dyDescent="0.25">
      <c r="A450" s="212" t="s">
        <v>86</v>
      </c>
      <c r="B450" s="212"/>
      <c r="C450" s="213"/>
      <c r="D450" s="214" t="s">
        <v>87</v>
      </c>
      <c r="E450" s="265" t="e">
        <f>E451+E458+#REF!</f>
        <v>#REF!</v>
      </c>
      <c r="F450" s="265" t="e">
        <f>F451+F458+#REF!</f>
        <v>#REF!</v>
      </c>
      <c r="G450" s="265">
        <f>G451+G458</f>
        <v>82314.61</v>
      </c>
      <c r="H450" s="265">
        <f t="shared" ref="H450:I450" si="223">H451+H458</f>
        <v>68314.61</v>
      </c>
      <c r="I450" s="265">
        <f t="shared" si="223"/>
        <v>68314.61</v>
      </c>
    </row>
    <row r="451" spans="1:9" x14ac:dyDescent="0.25">
      <c r="A451" s="192"/>
      <c r="B451" s="133">
        <v>31</v>
      </c>
      <c r="C451" s="203"/>
      <c r="D451" s="216" t="s">
        <v>88</v>
      </c>
      <c r="E451" s="136" t="e">
        <f>E452+#REF!+E455</f>
        <v>#REF!</v>
      </c>
      <c r="F451" s="136" t="e">
        <f>F452+#REF!+F455</f>
        <v>#REF!</v>
      </c>
      <c r="G451" s="136">
        <f>G452+G455</f>
        <v>73514.61</v>
      </c>
      <c r="H451" s="136">
        <f t="shared" ref="H451:I451" si="224">H452+H455</f>
        <v>68314.61</v>
      </c>
      <c r="I451" s="136">
        <f t="shared" si="224"/>
        <v>68314.61</v>
      </c>
    </row>
    <row r="452" spans="1:9" x14ac:dyDescent="0.25">
      <c r="A452" s="192"/>
      <c r="B452" s="152">
        <v>311</v>
      </c>
      <c r="C452" s="217"/>
      <c r="D452" s="192" t="s">
        <v>89</v>
      </c>
      <c r="E452" s="221" t="e">
        <f>E453+#REF!</f>
        <v>#REF!</v>
      </c>
      <c r="F452" s="221" t="e">
        <f>F453+#REF!</f>
        <v>#REF!</v>
      </c>
      <c r="G452" s="221">
        <f>G453</f>
        <v>63839.15</v>
      </c>
      <c r="H452" s="221">
        <f t="shared" ref="H452:I452" si="225">H453</f>
        <v>58639.15</v>
      </c>
      <c r="I452" s="221">
        <f t="shared" si="225"/>
        <v>58639.15</v>
      </c>
    </row>
    <row r="453" spans="1:9" x14ac:dyDescent="0.25">
      <c r="A453" s="192"/>
      <c r="B453" s="152">
        <v>3111</v>
      </c>
      <c r="C453" s="192"/>
      <c r="D453" s="192" t="s">
        <v>90</v>
      </c>
      <c r="E453" s="221" t="e">
        <f t="shared" ref="E453:I453" si="226">SUM(E454)</f>
        <v>#REF!</v>
      </c>
      <c r="F453" s="221" t="e">
        <f t="shared" si="226"/>
        <v>#REF!</v>
      </c>
      <c r="G453" s="221">
        <f t="shared" si="226"/>
        <v>63839.15</v>
      </c>
      <c r="H453" s="221">
        <f t="shared" si="226"/>
        <v>58639.15</v>
      </c>
      <c r="I453" s="221">
        <f t="shared" si="226"/>
        <v>58639.15</v>
      </c>
    </row>
    <row r="454" spans="1:9" x14ac:dyDescent="0.25">
      <c r="A454" s="192"/>
      <c r="B454" s="218" t="s">
        <v>484</v>
      </c>
      <c r="C454" s="217"/>
      <c r="D454" s="217" t="s">
        <v>90</v>
      </c>
      <c r="E454" s="222" t="e">
        <f>'Rekapitulacija Posebni dio'!C354+'Rekapitulacija Posebni dio'!C564+'Rekapitulacija Posebni dio'!#REF!+'Rekapitulacija Posebni dio'!C601+'Rekapitulacija Posebni dio'!#REF!+'Rekapitulacija Posebni dio'!#REF!+'Rekapitulacija Posebni dio'!C641</f>
        <v>#REF!</v>
      </c>
      <c r="F454" s="222" t="e">
        <f>'Rekapitulacija Posebni dio'!D354+'Rekapitulacija Posebni dio'!D564+'Rekapitulacija Posebni dio'!#REF!+'Rekapitulacija Posebni dio'!D601+'Rekapitulacija Posebni dio'!#REF!+'Rekapitulacija Posebni dio'!#REF!+'Rekapitulacija Posebni dio'!D641</f>
        <v>#REF!</v>
      </c>
      <c r="G454" s="222">
        <f>'Rekapitulacija Posebni dio'!E354+'Rekapitulacija Posebni dio'!E601</f>
        <v>63839.15</v>
      </c>
      <c r="H454" s="222">
        <f>'Rekapitulacija Posebni dio'!F354+'Rekapitulacija Posebni dio'!F601</f>
        <v>58639.15</v>
      </c>
      <c r="I454" s="222">
        <f>'Rekapitulacija Posebni dio'!G354+'Rekapitulacija Posebni dio'!G601</f>
        <v>58639.15</v>
      </c>
    </row>
    <row r="455" spans="1:9" x14ac:dyDescent="0.25">
      <c r="A455" s="192"/>
      <c r="B455" s="152" t="s">
        <v>212</v>
      </c>
      <c r="C455" s="192"/>
      <c r="D455" s="192" t="s">
        <v>100</v>
      </c>
      <c r="E455" s="268" t="e">
        <f t="shared" ref="E455:I456" si="227">SUM(E456)</f>
        <v>#REF!</v>
      </c>
      <c r="F455" s="268" t="e">
        <f t="shared" si="227"/>
        <v>#REF!</v>
      </c>
      <c r="G455" s="268">
        <f t="shared" si="227"/>
        <v>9675.4599999999991</v>
      </c>
      <c r="H455" s="268">
        <f t="shared" si="227"/>
        <v>9675.4599999999991</v>
      </c>
      <c r="I455" s="268">
        <f t="shared" si="227"/>
        <v>9675.4599999999991</v>
      </c>
    </row>
    <row r="456" spans="1:9" x14ac:dyDescent="0.25">
      <c r="A456" s="192"/>
      <c r="B456" s="152" t="s">
        <v>213</v>
      </c>
      <c r="C456" s="192"/>
      <c r="D456" s="192" t="s">
        <v>214</v>
      </c>
      <c r="E456" s="268" t="e">
        <f t="shared" si="227"/>
        <v>#REF!</v>
      </c>
      <c r="F456" s="268" t="e">
        <f t="shared" si="227"/>
        <v>#REF!</v>
      </c>
      <c r="G456" s="268">
        <f t="shared" si="227"/>
        <v>9675.4599999999991</v>
      </c>
      <c r="H456" s="268">
        <f t="shared" si="227"/>
        <v>9675.4599999999991</v>
      </c>
      <c r="I456" s="268">
        <f t="shared" si="227"/>
        <v>9675.4599999999991</v>
      </c>
    </row>
    <row r="457" spans="1:9" x14ac:dyDescent="0.25">
      <c r="A457" s="192"/>
      <c r="B457" s="218" t="s">
        <v>494</v>
      </c>
      <c r="C457" s="217"/>
      <c r="D457" s="217" t="s">
        <v>214</v>
      </c>
      <c r="E457" s="222" t="e">
        <f>'Rekapitulacija Posebni dio'!C361+'Rekapitulacija Posebni dio'!C573+'Rekapitulacija Posebni dio'!#REF!+'Rekapitulacija Posebni dio'!#REF!</f>
        <v>#REF!</v>
      </c>
      <c r="F457" s="222" t="e">
        <f>'Rekapitulacija Posebni dio'!D361+'Rekapitulacija Posebni dio'!D573+'Rekapitulacija Posebni dio'!#REF!+'Rekapitulacija Posebni dio'!#REF!</f>
        <v>#REF!</v>
      </c>
      <c r="G457" s="222">
        <f>'Rekapitulacija Posebni dio'!E361</f>
        <v>9675.4599999999991</v>
      </c>
      <c r="H457" s="222">
        <f>'Rekapitulacija Posebni dio'!F361</f>
        <v>9675.4599999999991</v>
      </c>
      <c r="I457" s="222">
        <f>'Rekapitulacija Posebni dio'!G361</f>
        <v>9675.4599999999991</v>
      </c>
    </row>
    <row r="458" spans="1:9" x14ac:dyDescent="0.25">
      <c r="A458" s="192"/>
      <c r="B458" s="133">
        <v>32</v>
      </c>
      <c r="C458" s="203"/>
      <c r="D458" s="216" t="s">
        <v>102</v>
      </c>
      <c r="E458" s="269" t="e">
        <f>E459+E468+E475+#REF!+E482</f>
        <v>#REF!</v>
      </c>
      <c r="F458" s="269" t="e">
        <f>F459+F468+F475+#REF!+F482</f>
        <v>#REF!</v>
      </c>
      <c r="G458" s="269">
        <f t="shared" ref="G458:I458" si="228">G459+G468+G475+G482</f>
        <v>8800</v>
      </c>
      <c r="H458" s="269">
        <f t="shared" si="228"/>
        <v>0</v>
      </c>
      <c r="I458" s="269">
        <f t="shared" si="228"/>
        <v>0</v>
      </c>
    </row>
    <row r="459" spans="1:9" x14ac:dyDescent="0.25">
      <c r="A459" s="192"/>
      <c r="B459" s="152" t="s">
        <v>215</v>
      </c>
      <c r="C459" s="192"/>
      <c r="D459" s="236" t="s">
        <v>103</v>
      </c>
      <c r="E459" s="268" t="e">
        <f>E460+E464+E466</f>
        <v>#REF!</v>
      </c>
      <c r="F459" s="268" t="e">
        <f>F460+F464+F466</f>
        <v>#REF!</v>
      </c>
      <c r="G459" s="268">
        <f t="shared" ref="G459:I459" si="229">G460+G464+G466</f>
        <v>3000</v>
      </c>
      <c r="H459" s="268">
        <f t="shared" si="229"/>
        <v>0</v>
      </c>
      <c r="I459" s="268">
        <f t="shared" si="229"/>
        <v>0</v>
      </c>
    </row>
    <row r="460" spans="1:9" x14ac:dyDescent="0.25">
      <c r="A460" s="192"/>
      <c r="B460" s="152" t="s">
        <v>104</v>
      </c>
      <c r="C460" s="192"/>
      <c r="D460" s="236" t="s">
        <v>105</v>
      </c>
      <c r="E460" s="268" t="e">
        <f>E461+E462+E463</f>
        <v>#REF!</v>
      </c>
      <c r="F460" s="268" t="e">
        <f t="shared" ref="F460:I460" si="230">F461+F462+F463</f>
        <v>#REF!</v>
      </c>
      <c r="G460" s="268">
        <f t="shared" si="230"/>
        <v>1600</v>
      </c>
      <c r="H460" s="268">
        <f t="shared" si="230"/>
        <v>0</v>
      </c>
      <c r="I460" s="268">
        <f t="shared" si="230"/>
        <v>0</v>
      </c>
    </row>
    <row r="461" spans="1:9" x14ac:dyDescent="0.25">
      <c r="A461" s="192"/>
      <c r="B461" s="218" t="s">
        <v>525</v>
      </c>
      <c r="C461" s="192"/>
      <c r="D461" s="237" t="s">
        <v>407</v>
      </c>
      <c r="E461" s="267" t="e">
        <f>'Rekapitulacija Posebni dio'!C577+'Rekapitulacija Posebni dio'!#REF!+'Rekapitulacija Posebni dio'!C612+'Rekapitulacija Posebni dio'!#REF!+'Rekapitulacija Posebni dio'!C654</f>
        <v>#REF!</v>
      </c>
      <c r="F461" s="267" t="e">
        <f>'Rekapitulacija Posebni dio'!D577+'Rekapitulacija Posebni dio'!#REF!+'Rekapitulacija Posebni dio'!D612+'Rekapitulacija Posebni dio'!#REF!+'Rekapitulacija Posebni dio'!D654</f>
        <v>#REF!</v>
      </c>
      <c r="G461" s="267">
        <f>'Rekapitulacija Posebni dio'!E612</f>
        <v>600</v>
      </c>
      <c r="H461" s="267">
        <f>'Rekapitulacija Posebni dio'!F612</f>
        <v>0</v>
      </c>
      <c r="I461" s="267">
        <f>'Rekapitulacija Posebni dio'!G612</f>
        <v>0</v>
      </c>
    </row>
    <row r="462" spans="1:9" x14ac:dyDescent="0.25">
      <c r="A462" s="192"/>
      <c r="B462" s="218" t="s">
        <v>532</v>
      </c>
      <c r="C462" s="192"/>
      <c r="D462" s="237" t="s">
        <v>409</v>
      </c>
      <c r="E462" s="267" t="e">
        <f>'Rekapitulacija Posebni dio'!#REF!+'Rekapitulacija Posebni dio'!C613</f>
        <v>#REF!</v>
      </c>
      <c r="F462" s="267" t="e">
        <f>'Rekapitulacija Posebni dio'!#REF!+'Rekapitulacija Posebni dio'!D613</f>
        <v>#REF!</v>
      </c>
      <c r="G462" s="267">
        <f>'Rekapitulacija Posebni dio'!E613</f>
        <v>600</v>
      </c>
      <c r="H462" s="267">
        <f>'Rekapitulacija Posebni dio'!F613</f>
        <v>0</v>
      </c>
      <c r="I462" s="267">
        <f>'Rekapitulacija Posebni dio'!G613</f>
        <v>0</v>
      </c>
    </row>
    <row r="463" spans="1:9" x14ac:dyDescent="0.25">
      <c r="A463" s="192"/>
      <c r="B463" s="218" t="s">
        <v>514</v>
      </c>
      <c r="C463" s="192"/>
      <c r="D463" s="237" t="s">
        <v>410</v>
      </c>
      <c r="E463" s="267" t="e">
        <f>'Rekapitulacija Posebni dio'!#REF!+'Rekapitulacija Posebni dio'!C614</f>
        <v>#REF!</v>
      </c>
      <c r="F463" s="267" t="e">
        <f>'Rekapitulacija Posebni dio'!#REF!+'Rekapitulacija Posebni dio'!D614</f>
        <v>#REF!</v>
      </c>
      <c r="G463" s="267">
        <f>'Rekapitulacija Posebni dio'!E614</f>
        <v>400</v>
      </c>
      <c r="H463" s="267">
        <f>'Rekapitulacija Posebni dio'!F614</f>
        <v>0</v>
      </c>
      <c r="I463" s="267">
        <f>'Rekapitulacija Posebni dio'!G614</f>
        <v>0</v>
      </c>
    </row>
    <row r="464" spans="1:9" x14ac:dyDescent="0.25">
      <c r="A464" s="192"/>
      <c r="B464" s="152" t="s">
        <v>106</v>
      </c>
      <c r="C464" s="192"/>
      <c r="D464" s="236" t="s">
        <v>107</v>
      </c>
      <c r="E464" s="268" t="e">
        <f t="shared" ref="E464:I464" si="231">SUM(E465)</f>
        <v>#REF!</v>
      </c>
      <c r="F464" s="268" t="e">
        <f>SUM(F465)</f>
        <v>#REF!</v>
      </c>
      <c r="G464" s="268">
        <f t="shared" si="231"/>
        <v>400</v>
      </c>
      <c r="H464" s="268">
        <f t="shared" si="231"/>
        <v>0</v>
      </c>
      <c r="I464" s="268">
        <f t="shared" si="231"/>
        <v>0</v>
      </c>
    </row>
    <row r="465" spans="1:9" x14ac:dyDescent="0.25">
      <c r="A465" s="217"/>
      <c r="B465" s="218" t="s">
        <v>495</v>
      </c>
      <c r="C465" s="217"/>
      <c r="D465" s="237" t="s">
        <v>107</v>
      </c>
      <c r="E465" s="267" t="e">
        <f>'Rekapitulacija Posebni dio'!C581+'Rekapitulacija Posebni dio'!#REF!+'Rekapitulacija Posebni dio'!C616+'Rekapitulacija Posebni dio'!#REF!</f>
        <v>#REF!</v>
      </c>
      <c r="F465" s="267" t="e">
        <f>'Rekapitulacija Posebni dio'!D581+'Rekapitulacija Posebni dio'!#REF!+'Rekapitulacija Posebni dio'!D616+'Rekapitulacija Posebni dio'!#REF!</f>
        <v>#REF!</v>
      </c>
      <c r="G465" s="520">
        <f>'Rekapitulacija Posebni dio'!E616</f>
        <v>400</v>
      </c>
      <c r="H465" s="520">
        <f>'Rekapitulacija Posebni dio'!F616</f>
        <v>0</v>
      </c>
      <c r="I465" s="520">
        <f>'Rekapitulacija Posebni dio'!G616</f>
        <v>0</v>
      </c>
    </row>
    <row r="466" spans="1:9" x14ac:dyDescent="0.25">
      <c r="A466" s="217"/>
      <c r="B466" s="152" t="s">
        <v>108</v>
      </c>
      <c r="C466" s="192"/>
      <c r="D466" s="236" t="s">
        <v>109</v>
      </c>
      <c r="E466" s="268" t="e">
        <f>SUM(E467:E467)</f>
        <v>#REF!</v>
      </c>
      <c r="F466" s="268" t="e">
        <f>SUM(F467:F467)</f>
        <v>#REF!</v>
      </c>
      <c r="G466" s="268">
        <f>SUM(G467:G467)</f>
        <v>1000</v>
      </c>
      <c r="H466" s="268">
        <f>SUM(H467:H467)</f>
        <v>0</v>
      </c>
      <c r="I466" s="268">
        <f>SUM(I467:I467)</f>
        <v>0</v>
      </c>
    </row>
    <row r="467" spans="1:9" x14ac:dyDescent="0.25">
      <c r="A467" s="217"/>
      <c r="B467" s="218" t="s">
        <v>515</v>
      </c>
      <c r="C467" s="217"/>
      <c r="D467" s="237" t="s">
        <v>412</v>
      </c>
      <c r="E467" s="267" t="e">
        <f>'Rekapitulacija Posebni dio'!C583+'Rekapitulacija Posebni dio'!#REF!+'Rekapitulacija Posebni dio'!C618</f>
        <v>#REF!</v>
      </c>
      <c r="F467" s="267" t="e">
        <f>'Rekapitulacija Posebni dio'!D583+'Rekapitulacija Posebni dio'!#REF!+'Rekapitulacija Posebni dio'!D618</f>
        <v>#REF!</v>
      </c>
      <c r="G467" s="267">
        <f>'Rekapitulacija Posebni dio'!E618</f>
        <v>1000</v>
      </c>
      <c r="H467" s="267">
        <f>'Rekapitulacija Posebni dio'!F618</f>
        <v>0</v>
      </c>
      <c r="I467" s="267">
        <f>'Rekapitulacija Posebni dio'!G618</f>
        <v>0</v>
      </c>
    </row>
    <row r="468" spans="1:9" x14ac:dyDescent="0.25">
      <c r="A468" s="192"/>
      <c r="B468" s="152" t="s">
        <v>112</v>
      </c>
      <c r="C468" s="192"/>
      <c r="D468" s="192" t="s">
        <v>113</v>
      </c>
      <c r="E468" s="221" t="e">
        <f>E469+E472+E473+#REF!</f>
        <v>#REF!</v>
      </c>
      <c r="F468" s="221" t="e">
        <f>F469+F472+F473+#REF!</f>
        <v>#REF!</v>
      </c>
      <c r="G468" s="221">
        <f>G469+G472+G473</f>
        <v>2500</v>
      </c>
      <c r="H468" s="221">
        <f t="shared" ref="H468:I468" si="232">H469+H472+H473</f>
        <v>0</v>
      </c>
      <c r="I468" s="221">
        <f t="shared" si="232"/>
        <v>0</v>
      </c>
    </row>
    <row r="469" spans="1:9" x14ac:dyDescent="0.25">
      <c r="A469" s="217"/>
      <c r="B469" s="152" t="s">
        <v>114</v>
      </c>
      <c r="C469" s="192"/>
      <c r="D469" s="192" t="s">
        <v>115</v>
      </c>
      <c r="E469" s="221">
        <f>E470+E471</f>
        <v>0</v>
      </c>
      <c r="F469" s="221">
        <f t="shared" ref="F469:I469" si="233">F470+F471</f>
        <v>0</v>
      </c>
      <c r="G469" s="221">
        <f t="shared" si="233"/>
        <v>2000</v>
      </c>
      <c r="H469" s="221">
        <f t="shared" si="233"/>
        <v>0</v>
      </c>
      <c r="I469" s="221">
        <f t="shared" si="233"/>
        <v>0</v>
      </c>
    </row>
    <row r="470" spans="1:9" x14ac:dyDescent="0.25">
      <c r="A470" s="217"/>
      <c r="B470" s="218" t="s">
        <v>516</v>
      </c>
      <c r="C470" s="217"/>
      <c r="D470" s="217" t="s">
        <v>414</v>
      </c>
      <c r="E470" s="222">
        <f>'Rekapitulacija Posebni dio'!C621</f>
        <v>0</v>
      </c>
      <c r="F470" s="222">
        <f>'Rekapitulacija Posebni dio'!D621</f>
        <v>0</v>
      </c>
      <c r="G470" s="222">
        <f>'Rekapitulacija Posebni dio'!E621</f>
        <v>800</v>
      </c>
      <c r="H470" s="222">
        <f>'Rekapitulacija Posebni dio'!F621</f>
        <v>0</v>
      </c>
      <c r="I470" s="222">
        <f>'Rekapitulacija Posebni dio'!G621</f>
        <v>0</v>
      </c>
    </row>
    <row r="471" spans="1:9" x14ac:dyDescent="0.25">
      <c r="A471" s="217"/>
      <c r="B471" s="218" t="s">
        <v>538</v>
      </c>
      <c r="C471" s="217"/>
      <c r="D471" s="217" t="s">
        <v>418</v>
      </c>
      <c r="E471" s="222">
        <f>'Rekapitulacija Posebni dio'!C622</f>
        <v>0</v>
      </c>
      <c r="F471" s="222">
        <f>'Rekapitulacija Posebni dio'!D622</f>
        <v>0</v>
      </c>
      <c r="G471" s="222">
        <f>'Rekapitulacija Posebni dio'!E622</f>
        <v>1200</v>
      </c>
      <c r="H471" s="222">
        <f>'Rekapitulacija Posebni dio'!F622</f>
        <v>0</v>
      </c>
      <c r="I471" s="222">
        <f>'Rekapitulacija Posebni dio'!G622</f>
        <v>0</v>
      </c>
    </row>
    <row r="472" spans="1:9" hidden="1" x14ac:dyDescent="0.25">
      <c r="A472" s="192"/>
      <c r="B472" s="152" t="s">
        <v>116</v>
      </c>
      <c r="C472" s="192"/>
      <c r="D472" s="192" t="s">
        <v>117</v>
      </c>
      <c r="E472" s="222"/>
      <c r="F472" s="222"/>
      <c r="G472" s="222"/>
      <c r="H472" s="222"/>
      <c r="I472" s="222"/>
    </row>
    <row r="473" spans="1:9" x14ac:dyDescent="0.25">
      <c r="A473" s="192"/>
      <c r="B473" s="152" t="s">
        <v>118</v>
      </c>
      <c r="C473" s="192"/>
      <c r="D473" s="192" t="s">
        <v>119</v>
      </c>
      <c r="E473" s="221">
        <f t="shared" ref="E473:I473" si="234">E474</f>
        <v>0</v>
      </c>
      <c r="F473" s="221">
        <f t="shared" si="234"/>
        <v>0</v>
      </c>
      <c r="G473" s="221">
        <f t="shared" si="234"/>
        <v>500</v>
      </c>
      <c r="H473" s="221">
        <f t="shared" si="234"/>
        <v>0</v>
      </c>
      <c r="I473" s="221">
        <f t="shared" si="234"/>
        <v>0</v>
      </c>
    </row>
    <row r="474" spans="1:9" x14ac:dyDescent="0.25">
      <c r="A474" s="192"/>
      <c r="B474" s="218" t="s">
        <v>503</v>
      </c>
      <c r="C474" s="217"/>
      <c r="D474" s="217" t="s">
        <v>422</v>
      </c>
      <c r="E474" s="222">
        <f>'Rekapitulacija Posebni dio'!C624</f>
        <v>0</v>
      </c>
      <c r="F474" s="222">
        <f>'Rekapitulacija Posebni dio'!D624</f>
        <v>0</v>
      </c>
      <c r="G474" s="222">
        <f>'Rekapitulacija Posebni dio'!E624</f>
        <v>500</v>
      </c>
      <c r="H474" s="222">
        <f>'Rekapitulacija Posebni dio'!F624</f>
        <v>0</v>
      </c>
      <c r="I474" s="222">
        <f>'Rekapitulacija Posebni dio'!G624</f>
        <v>0</v>
      </c>
    </row>
    <row r="475" spans="1:9" x14ac:dyDescent="0.25">
      <c r="A475" s="192"/>
      <c r="B475" s="152" t="s">
        <v>126</v>
      </c>
      <c r="C475" s="192"/>
      <c r="D475" s="192" t="s">
        <v>127</v>
      </c>
      <c r="E475" s="221" t="e">
        <f>E476+#REF!+#REF!+#REF!+#REF!+E478+E480</f>
        <v>#REF!</v>
      </c>
      <c r="F475" s="221" t="e">
        <f>F476+#REF!+#REF!+#REF!+#REF!+F478+F480</f>
        <v>#REF!</v>
      </c>
      <c r="G475" s="221">
        <f>G476+G478+G480</f>
        <v>2300</v>
      </c>
      <c r="H475" s="221">
        <f t="shared" ref="H475:I475" si="235">H476+H478+H480</f>
        <v>0</v>
      </c>
      <c r="I475" s="221">
        <f t="shared" si="235"/>
        <v>0</v>
      </c>
    </row>
    <row r="476" spans="1:9" x14ac:dyDescent="0.25">
      <c r="A476" s="192"/>
      <c r="B476" s="152" t="s">
        <v>128</v>
      </c>
      <c r="C476" s="192"/>
      <c r="D476" s="192" t="s">
        <v>129</v>
      </c>
      <c r="E476" s="221" t="e">
        <f>#REF!+E477</f>
        <v>#REF!</v>
      </c>
      <c r="F476" s="221" t="e">
        <f>#REF!+F477</f>
        <v>#REF!</v>
      </c>
      <c r="G476" s="221">
        <f>G477</f>
        <v>800</v>
      </c>
      <c r="H476" s="221">
        <f t="shared" ref="H476:I476" si="236">H477</f>
        <v>0</v>
      </c>
      <c r="I476" s="221">
        <f t="shared" si="236"/>
        <v>0</v>
      </c>
    </row>
    <row r="477" spans="1:9" x14ac:dyDescent="0.25">
      <c r="A477" s="217"/>
      <c r="B477" s="218" t="s">
        <v>565</v>
      </c>
      <c r="C477" s="217"/>
      <c r="D477" s="217" t="s">
        <v>566</v>
      </c>
      <c r="E477" s="222">
        <f>'Rekapitulacija Posebni dio'!C627</f>
        <v>0</v>
      </c>
      <c r="F477" s="222">
        <f>'Rekapitulacija Posebni dio'!D627</f>
        <v>0</v>
      </c>
      <c r="G477" s="222">
        <f>'Rekapitulacija Posebni dio'!E627</f>
        <v>800</v>
      </c>
      <c r="H477" s="222">
        <f>'Rekapitulacija Posebni dio'!F627</f>
        <v>0</v>
      </c>
      <c r="I477" s="222">
        <f>'Rekapitulacija Posebni dio'!G627</f>
        <v>0</v>
      </c>
    </row>
    <row r="478" spans="1:9" x14ac:dyDescent="0.25">
      <c r="A478" s="192"/>
      <c r="B478" s="152" t="s">
        <v>218</v>
      </c>
      <c r="C478" s="192"/>
      <c r="D478" s="192" t="s">
        <v>138</v>
      </c>
      <c r="E478" s="221" t="e">
        <f t="shared" ref="E478:I478" si="237">SUM(E479)</f>
        <v>#REF!</v>
      </c>
      <c r="F478" s="221" t="e">
        <f t="shared" si="237"/>
        <v>#REF!</v>
      </c>
      <c r="G478" s="221">
        <f t="shared" si="237"/>
        <v>1000</v>
      </c>
      <c r="H478" s="221">
        <f t="shared" si="237"/>
        <v>0</v>
      </c>
      <c r="I478" s="221">
        <f t="shared" si="237"/>
        <v>0</v>
      </c>
    </row>
    <row r="479" spans="1:9" x14ac:dyDescent="0.25">
      <c r="A479" s="192"/>
      <c r="B479" s="218" t="s">
        <v>518</v>
      </c>
      <c r="C479" s="217"/>
      <c r="D479" s="217" t="s">
        <v>442</v>
      </c>
      <c r="E479" s="222" t="e">
        <f>'Rekapitulacija Posebni dio'!C588+'Rekapitulacija Posebni dio'!C629+'Rekapitulacija Posebni dio'!#REF!</f>
        <v>#REF!</v>
      </c>
      <c r="F479" s="222" t="e">
        <f>'Rekapitulacija Posebni dio'!D588+'Rekapitulacija Posebni dio'!D629+'Rekapitulacija Posebni dio'!#REF!</f>
        <v>#REF!</v>
      </c>
      <c r="G479" s="222">
        <f>'Rekapitulacija Posebni dio'!E629</f>
        <v>1000</v>
      </c>
      <c r="H479" s="222">
        <f>'Rekapitulacija Posebni dio'!F629</f>
        <v>0</v>
      </c>
      <c r="I479" s="222">
        <f>'Rekapitulacija Posebni dio'!G629</f>
        <v>0</v>
      </c>
    </row>
    <row r="480" spans="1:9" x14ac:dyDescent="0.25">
      <c r="A480" s="192"/>
      <c r="B480" s="152" t="s">
        <v>141</v>
      </c>
      <c r="C480" s="192"/>
      <c r="D480" s="192" t="s">
        <v>552</v>
      </c>
      <c r="E480" s="221" t="e">
        <f t="shared" ref="E480:I480" si="238">SUM(E481)</f>
        <v>#REF!</v>
      </c>
      <c r="F480" s="221" t="e">
        <f t="shared" si="238"/>
        <v>#REF!</v>
      </c>
      <c r="G480" s="221">
        <f t="shared" si="238"/>
        <v>500</v>
      </c>
      <c r="H480" s="221">
        <f t="shared" si="238"/>
        <v>0</v>
      </c>
      <c r="I480" s="221">
        <f t="shared" si="238"/>
        <v>0</v>
      </c>
    </row>
    <row r="481" spans="1:9" x14ac:dyDescent="0.25">
      <c r="A481" s="192"/>
      <c r="B481" s="218" t="s">
        <v>519</v>
      </c>
      <c r="C481" s="217"/>
      <c r="D481" s="217" t="s">
        <v>315</v>
      </c>
      <c r="E481" s="222" t="e">
        <f>'Rekapitulacija Posebni dio'!C369+'Rekapitulacija Posebni dio'!C590+'Rekapitulacija Posebni dio'!C631+'Rekapitulacija Posebni dio'!C723+'Rekapitulacija Posebni dio'!#REF!+'Rekapitulacija Posebni dio'!C670</f>
        <v>#REF!</v>
      </c>
      <c r="F481" s="222" t="e">
        <f>'Rekapitulacija Posebni dio'!D369+'Rekapitulacija Posebni dio'!D590+'Rekapitulacija Posebni dio'!D631+'Rekapitulacija Posebni dio'!D723+'Rekapitulacija Posebni dio'!#REF!+'Rekapitulacija Posebni dio'!D670</f>
        <v>#REF!</v>
      </c>
      <c r="G481" s="222">
        <f>'Rekapitulacija Posebni dio'!E631</f>
        <v>500</v>
      </c>
      <c r="H481" s="222">
        <f>'Rekapitulacija Posebni dio'!F631</f>
        <v>0</v>
      </c>
      <c r="I481" s="222">
        <f>'Rekapitulacija Posebni dio'!G631</f>
        <v>0</v>
      </c>
    </row>
    <row r="482" spans="1:9" x14ac:dyDescent="0.25">
      <c r="A482" s="192"/>
      <c r="B482" s="152" t="s">
        <v>219</v>
      </c>
      <c r="C482" s="192"/>
      <c r="D482" s="192" t="s">
        <v>220</v>
      </c>
      <c r="E482" s="221" t="e">
        <f>E483+#REF!</f>
        <v>#REF!</v>
      </c>
      <c r="F482" s="221" t="e">
        <f>F483+#REF!</f>
        <v>#REF!</v>
      </c>
      <c r="G482" s="221">
        <f>G483</f>
        <v>1000</v>
      </c>
      <c r="H482" s="221">
        <f t="shared" ref="H482:I482" si="239">H483</f>
        <v>0</v>
      </c>
      <c r="I482" s="221">
        <f t="shared" si="239"/>
        <v>0</v>
      </c>
    </row>
    <row r="483" spans="1:9" x14ac:dyDescent="0.25">
      <c r="A483" s="192"/>
      <c r="B483" s="152" t="s">
        <v>221</v>
      </c>
      <c r="C483" s="192"/>
      <c r="D483" s="192" t="s">
        <v>148</v>
      </c>
      <c r="E483" s="221">
        <f>E484</f>
        <v>0</v>
      </c>
      <c r="F483" s="221">
        <f t="shared" ref="F483:I483" si="240">F484</f>
        <v>0</v>
      </c>
      <c r="G483" s="221">
        <f t="shared" si="240"/>
        <v>1000</v>
      </c>
      <c r="H483" s="221">
        <f t="shared" si="240"/>
        <v>0</v>
      </c>
      <c r="I483" s="221">
        <f t="shared" si="240"/>
        <v>0</v>
      </c>
    </row>
    <row r="484" spans="1:9" x14ac:dyDescent="0.25">
      <c r="A484" s="192"/>
      <c r="B484" s="218" t="s">
        <v>573</v>
      </c>
      <c r="C484" s="217"/>
      <c r="D484" s="217" t="s">
        <v>148</v>
      </c>
      <c r="E484" s="222">
        <f>'Rekapitulacija Posebni dio'!C372+'Rekapitulacija Posebni dio'!C634</f>
        <v>0</v>
      </c>
      <c r="F484" s="222">
        <f>'Rekapitulacija Posebni dio'!D372+'Rekapitulacija Posebni dio'!D634</f>
        <v>0</v>
      </c>
      <c r="G484" s="222">
        <f>'Rekapitulacija Posebni dio'!E372+'Rekapitulacija Posebni dio'!E634</f>
        <v>1000</v>
      </c>
      <c r="H484" s="222">
        <f>'Rekapitulacija Posebni dio'!F372+'Rekapitulacija Posebni dio'!F634</f>
        <v>0</v>
      </c>
      <c r="I484" s="222">
        <f>'Rekapitulacija Posebni dio'!G372+'Rekapitulacija Posebni dio'!G634</f>
        <v>0</v>
      </c>
    </row>
    <row r="485" spans="1:9" hidden="1" x14ac:dyDescent="0.25">
      <c r="A485" s="238">
        <v>4</v>
      </c>
      <c r="B485" s="239"/>
      <c r="C485" s="240"/>
      <c r="D485" s="241" t="s">
        <v>174</v>
      </c>
      <c r="E485" s="272">
        <f t="shared" ref="E485:I486" si="241">E486</f>
        <v>0</v>
      </c>
      <c r="F485" s="272">
        <f t="shared" si="241"/>
        <v>0</v>
      </c>
      <c r="G485" s="272">
        <f t="shared" si="241"/>
        <v>0</v>
      </c>
      <c r="H485" s="272">
        <f t="shared" si="241"/>
        <v>0</v>
      </c>
      <c r="I485" s="272">
        <f t="shared" si="241"/>
        <v>0</v>
      </c>
    </row>
    <row r="486" spans="1:9" hidden="1" x14ac:dyDescent="0.25">
      <c r="A486" s="192"/>
      <c r="B486" s="133">
        <v>42</v>
      </c>
      <c r="C486" s="203"/>
      <c r="D486" s="216" t="s">
        <v>183</v>
      </c>
      <c r="E486" s="269">
        <f t="shared" si="241"/>
        <v>0</v>
      </c>
      <c r="F486" s="269">
        <f t="shared" si="241"/>
        <v>0</v>
      </c>
      <c r="G486" s="269">
        <f t="shared" si="241"/>
        <v>0</v>
      </c>
      <c r="H486" s="269">
        <f t="shared" si="241"/>
        <v>0</v>
      </c>
      <c r="I486" s="269">
        <f t="shared" si="241"/>
        <v>0</v>
      </c>
    </row>
    <row r="487" spans="1:9" hidden="1" x14ac:dyDescent="0.25">
      <c r="A487" s="192"/>
      <c r="B487" s="152">
        <v>422</v>
      </c>
      <c r="C487" s="192"/>
      <c r="D487" s="192" t="s">
        <v>184</v>
      </c>
      <c r="E487" s="221">
        <f>E488+E489</f>
        <v>0</v>
      </c>
      <c r="F487" s="221">
        <f t="shared" ref="F487:I487" si="242">F488+F489</f>
        <v>0</v>
      </c>
      <c r="G487" s="221">
        <f t="shared" si="242"/>
        <v>0</v>
      </c>
      <c r="H487" s="221">
        <f t="shared" si="242"/>
        <v>0</v>
      </c>
      <c r="I487" s="221">
        <f t="shared" si="242"/>
        <v>0</v>
      </c>
    </row>
    <row r="488" spans="1:9" hidden="1" x14ac:dyDescent="0.25">
      <c r="A488" s="192"/>
      <c r="B488" s="152" t="s">
        <v>185</v>
      </c>
      <c r="C488" s="192"/>
      <c r="D488" s="192" t="s">
        <v>186</v>
      </c>
      <c r="E488" s="221"/>
      <c r="F488" s="221"/>
      <c r="G488" s="221"/>
      <c r="H488" s="221"/>
      <c r="I488" s="221"/>
    </row>
    <row r="489" spans="1:9" hidden="1" x14ac:dyDescent="0.25">
      <c r="A489" s="192"/>
      <c r="B489" s="152" t="s">
        <v>229</v>
      </c>
      <c r="C489" s="192"/>
      <c r="D489" s="192" t="s">
        <v>190</v>
      </c>
      <c r="E489" s="221">
        <f>E490</f>
        <v>0</v>
      </c>
      <c r="F489" s="221">
        <f t="shared" ref="F489:I489" si="243">F490</f>
        <v>0</v>
      </c>
      <c r="G489" s="221">
        <f t="shared" si="243"/>
        <v>0</v>
      </c>
      <c r="H489" s="221">
        <f t="shared" si="243"/>
        <v>0</v>
      </c>
      <c r="I489" s="221">
        <f t="shared" si="243"/>
        <v>0</v>
      </c>
    </row>
    <row r="490" spans="1:9" hidden="1" x14ac:dyDescent="0.25">
      <c r="A490" s="192"/>
      <c r="B490" s="218" t="s">
        <v>522</v>
      </c>
      <c r="C490" s="217"/>
      <c r="D490" s="217" t="s">
        <v>469</v>
      </c>
      <c r="E490" s="222">
        <f>'Rekapitulacija Posebni dio'!C730</f>
        <v>0</v>
      </c>
      <c r="F490" s="222">
        <f>'Rekapitulacija Posebni dio'!D730</f>
        <v>0</v>
      </c>
      <c r="G490" s="222">
        <f>'Rekapitulacija Posebni dio'!E730</f>
        <v>0</v>
      </c>
      <c r="H490" s="222">
        <f>'Rekapitulacija Posebni dio'!F730</f>
        <v>0</v>
      </c>
      <c r="I490" s="222">
        <f>'Rekapitulacija Posebni dio'!G730</f>
        <v>0</v>
      </c>
    </row>
    <row r="491" spans="1:9" x14ac:dyDescent="0.25">
      <c r="A491" s="247"/>
      <c r="B491" s="248"/>
      <c r="C491" s="262">
        <v>52</v>
      </c>
      <c r="D491" s="263" t="s">
        <v>700</v>
      </c>
      <c r="E491" s="264" t="e">
        <f>E450+E485</f>
        <v>#REF!</v>
      </c>
      <c r="F491" s="264" t="e">
        <f>F450+F485</f>
        <v>#REF!</v>
      </c>
      <c r="G491" s="264">
        <f>G450+G485</f>
        <v>82314.61</v>
      </c>
      <c r="H491" s="264">
        <f>H450+H485</f>
        <v>68314.61</v>
      </c>
      <c r="I491" s="264">
        <f>I450+I485</f>
        <v>68314.61</v>
      </c>
    </row>
    <row r="492" spans="1:9" x14ac:dyDescent="0.25">
      <c r="A492" s="212" t="s">
        <v>86</v>
      </c>
      <c r="B492" s="212"/>
      <c r="C492" s="213"/>
      <c r="D492" s="214" t="s">
        <v>87</v>
      </c>
      <c r="E492" s="215" t="e">
        <f>E493+E497</f>
        <v>#REF!</v>
      </c>
      <c r="F492" s="215" t="e">
        <f>F493+F497</f>
        <v>#REF!</v>
      </c>
      <c r="G492" s="215">
        <f>G493+G497</f>
        <v>156200</v>
      </c>
      <c r="H492" s="215">
        <f t="shared" ref="H492:I492" si="244">H493+H497</f>
        <v>159324</v>
      </c>
      <c r="I492" s="215">
        <f t="shared" si="244"/>
        <v>162510.47999999998</v>
      </c>
    </row>
    <row r="493" spans="1:9" x14ac:dyDescent="0.25">
      <c r="A493" s="192"/>
      <c r="B493" s="133">
        <v>31</v>
      </c>
      <c r="C493" s="203"/>
      <c r="D493" s="216" t="s">
        <v>88</v>
      </c>
      <c r="E493" s="136" t="e">
        <f>E494+#REF!+#REF!</f>
        <v>#REF!</v>
      </c>
      <c r="F493" s="136" t="e">
        <f>F494+#REF!+#REF!</f>
        <v>#REF!</v>
      </c>
      <c r="G493" s="136">
        <f>G494</f>
        <v>142132.5</v>
      </c>
      <c r="H493" s="136">
        <f t="shared" ref="H493:I495" si="245">H494</f>
        <v>144975.15</v>
      </c>
      <c r="I493" s="136">
        <f t="shared" si="245"/>
        <v>147874.65</v>
      </c>
    </row>
    <row r="494" spans="1:9" x14ac:dyDescent="0.25">
      <c r="A494" s="192"/>
      <c r="B494" s="152">
        <v>311</v>
      </c>
      <c r="C494" s="217"/>
      <c r="D494" s="192" t="s">
        <v>89</v>
      </c>
      <c r="E494" s="155">
        <f>SUM(E495:E496)</f>
        <v>0</v>
      </c>
      <c r="F494" s="155">
        <f>SUM(F495:F496)</f>
        <v>0</v>
      </c>
      <c r="G494" s="155">
        <f>G495</f>
        <v>142132.5</v>
      </c>
      <c r="H494" s="155">
        <f t="shared" si="245"/>
        <v>144975.15</v>
      </c>
      <c r="I494" s="155">
        <f t="shared" si="245"/>
        <v>147874.65</v>
      </c>
    </row>
    <row r="495" spans="1:9" s="130" customFormat="1" x14ac:dyDescent="0.25">
      <c r="A495" s="192"/>
      <c r="B495" s="152">
        <v>3111</v>
      </c>
      <c r="C495" s="192"/>
      <c r="D495" s="192" t="s">
        <v>90</v>
      </c>
      <c r="E495" s="155"/>
      <c r="F495" s="155"/>
      <c r="G495" s="155">
        <f>G496</f>
        <v>142132.5</v>
      </c>
      <c r="H495" s="155">
        <f t="shared" si="245"/>
        <v>144975.15</v>
      </c>
      <c r="I495" s="155">
        <f t="shared" si="245"/>
        <v>147874.65</v>
      </c>
    </row>
    <row r="496" spans="1:9" x14ac:dyDescent="0.25">
      <c r="A496" s="217"/>
      <c r="B496" s="218" t="s">
        <v>484</v>
      </c>
      <c r="C496" s="217"/>
      <c r="D496" s="217" t="s">
        <v>90</v>
      </c>
      <c r="E496" s="163"/>
      <c r="F496" s="163"/>
      <c r="G496" s="163">
        <f>'Rekapitulacija Posebni dio'!E641</f>
        <v>142132.5</v>
      </c>
      <c r="H496" s="163">
        <f>'Rekapitulacija Posebni dio'!F641</f>
        <v>144975.15</v>
      </c>
      <c r="I496" s="163">
        <f>'Rekapitulacija Posebni dio'!G641</f>
        <v>147874.65</v>
      </c>
    </row>
    <row r="497" spans="1:9" x14ac:dyDescent="0.25">
      <c r="A497" s="192"/>
      <c r="B497" s="133">
        <v>32</v>
      </c>
      <c r="C497" s="203"/>
      <c r="D497" s="216" t="s">
        <v>102</v>
      </c>
      <c r="E497" s="136" t="e">
        <f>E498+#REF!+E503</f>
        <v>#REF!</v>
      </c>
      <c r="F497" s="136" t="e">
        <f>F498+#REF!+F503</f>
        <v>#REF!</v>
      </c>
      <c r="G497" s="136">
        <f>G498+G503+G508</f>
        <v>14067.5</v>
      </c>
      <c r="H497" s="136">
        <f t="shared" ref="H497:I497" si="246">H498+H503+H508</f>
        <v>14348.85</v>
      </c>
      <c r="I497" s="136">
        <f t="shared" si="246"/>
        <v>14635.83</v>
      </c>
    </row>
    <row r="498" spans="1:9" x14ac:dyDescent="0.25">
      <c r="A498" s="192"/>
      <c r="B498" s="152">
        <v>321</v>
      </c>
      <c r="C498" s="192"/>
      <c r="D498" s="192" t="s">
        <v>103</v>
      </c>
      <c r="E498" s="155">
        <f>SUM(E499:E500)</f>
        <v>0</v>
      </c>
      <c r="F498" s="155">
        <f>SUM(F499:F500)</f>
        <v>0</v>
      </c>
      <c r="G498" s="155">
        <f>G499+G501</f>
        <v>4406.16</v>
      </c>
      <c r="H498" s="155">
        <f>H499+H501</f>
        <v>4481.8500000000004</v>
      </c>
      <c r="I498" s="155">
        <f>I499+I501</f>
        <v>4557.6499999999996</v>
      </c>
    </row>
    <row r="499" spans="1:9" s="130" customFormat="1" x14ac:dyDescent="0.25">
      <c r="A499" s="192"/>
      <c r="B499" s="152" t="s">
        <v>104</v>
      </c>
      <c r="C499" s="192"/>
      <c r="D499" s="192" t="s">
        <v>105</v>
      </c>
      <c r="E499" s="155"/>
      <c r="F499" s="155"/>
      <c r="G499" s="155">
        <f>G500</f>
        <v>2606.16</v>
      </c>
      <c r="H499" s="155">
        <f t="shared" ref="H499:I499" si="247">H500</f>
        <v>2656.16</v>
      </c>
      <c r="I499" s="155">
        <f t="shared" si="247"/>
        <v>2706.96</v>
      </c>
    </row>
    <row r="500" spans="1:9" x14ac:dyDescent="0.25">
      <c r="A500" s="217"/>
      <c r="B500" s="218" t="s">
        <v>525</v>
      </c>
      <c r="C500" s="217"/>
      <c r="D500" s="217" t="s">
        <v>407</v>
      </c>
      <c r="E500" s="163"/>
      <c r="F500" s="163"/>
      <c r="G500" s="163">
        <f>'Rekapitulacija Posebni dio'!E654</f>
        <v>2606.16</v>
      </c>
      <c r="H500" s="163">
        <f>'Rekapitulacija Posebni dio'!F654</f>
        <v>2656.16</v>
      </c>
      <c r="I500" s="163">
        <f>'Rekapitulacija Posebni dio'!G654</f>
        <v>2706.96</v>
      </c>
    </row>
    <row r="501" spans="1:9" s="130" customFormat="1" x14ac:dyDescent="0.25">
      <c r="A501" s="192"/>
      <c r="B501" s="152" t="s">
        <v>108</v>
      </c>
      <c r="C501" s="192"/>
      <c r="D501" s="226" t="s">
        <v>109</v>
      </c>
      <c r="E501" s="155"/>
      <c r="F501" s="155"/>
      <c r="G501" s="155">
        <f>G502</f>
        <v>1800</v>
      </c>
      <c r="H501" s="155">
        <f t="shared" ref="H501:I501" si="248">H502</f>
        <v>1825.69</v>
      </c>
      <c r="I501" s="155">
        <f t="shared" si="248"/>
        <v>1850.69</v>
      </c>
    </row>
    <row r="502" spans="1:9" x14ac:dyDescent="0.25">
      <c r="A502" s="217"/>
      <c r="B502" s="218" t="s">
        <v>534</v>
      </c>
      <c r="C502" s="217"/>
      <c r="D502" s="224" t="s">
        <v>411</v>
      </c>
      <c r="E502" s="163"/>
      <c r="F502" s="163"/>
      <c r="G502" s="163">
        <f>'Rekapitulacija Posebni dio'!E660</f>
        <v>1800</v>
      </c>
      <c r="H502" s="163">
        <f>'Rekapitulacija Posebni dio'!F660</f>
        <v>1825.69</v>
      </c>
      <c r="I502" s="163">
        <f>'Rekapitulacija Posebni dio'!G660</f>
        <v>1850.69</v>
      </c>
    </row>
    <row r="503" spans="1:9" x14ac:dyDescent="0.25">
      <c r="A503" s="192"/>
      <c r="B503" s="152" t="s">
        <v>126</v>
      </c>
      <c r="C503" s="192"/>
      <c r="D503" s="226" t="s">
        <v>127</v>
      </c>
      <c r="E503" s="155">
        <f t="shared" ref="E503" si="249">SUM(E504:E504)</f>
        <v>0</v>
      </c>
      <c r="F503" s="155">
        <f>SUM(F504:F504)</f>
        <v>0</v>
      </c>
      <c r="G503" s="155">
        <f>G504+G506</f>
        <v>7055.18</v>
      </c>
      <c r="H503" s="155">
        <f t="shared" ref="H503:I503" si="250">H504+H506</f>
        <v>7167</v>
      </c>
      <c r="I503" s="155">
        <f t="shared" si="250"/>
        <v>7278.18</v>
      </c>
    </row>
    <row r="504" spans="1:9" s="130" customFormat="1" x14ac:dyDescent="0.25">
      <c r="A504" s="192"/>
      <c r="B504" s="152" t="s">
        <v>132</v>
      </c>
      <c r="C504" s="192"/>
      <c r="D504" s="226" t="s">
        <v>133</v>
      </c>
      <c r="E504" s="155"/>
      <c r="F504" s="155"/>
      <c r="G504" s="155">
        <f>G505</f>
        <v>2000</v>
      </c>
      <c r="H504" s="155">
        <f t="shared" ref="H504:I504" si="251">H505</f>
        <v>2067</v>
      </c>
      <c r="I504" s="155">
        <f t="shared" si="251"/>
        <v>2134</v>
      </c>
    </row>
    <row r="505" spans="1:9" x14ac:dyDescent="0.25">
      <c r="A505" s="192"/>
      <c r="B505" s="218" t="s">
        <v>634</v>
      </c>
      <c r="C505" s="192"/>
      <c r="D505" s="224" t="s">
        <v>133</v>
      </c>
      <c r="E505" s="163"/>
      <c r="F505" s="163"/>
      <c r="G505" s="163">
        <f>'Rekapitulacija Posebni dio'!E666</f>
        <v>2000</v>
      </c>
      <c r="H505" s="163">
        <f>'Rekapitulacija Posebni dio'!F666</f>
        <v>2067</v>
      </c>
      <c r="I505" s="163">
        <f>'Rekapitulacija Posebni dio'!G666</f>
        <v>2134</v>
      </c>
    </row>
    <row r="506" spans="1:9" x14ac:dyDescent="0.25">
      <c r="A506" s="192"/>
      <c r="B506" s="152" t="s">
        <v>141</v>
      </c>
      <c r="C506" s="192"/>
      <c r="D506" s="226" t="s">
        <v>142</v>
      </c>
      <c r="E506" s="155"/>
      <c r="F506" s="155"/>
      <c r="G506" s="155">
        <f>G507</f>
        <v>5055.18</v>
      </c>
      <c r="H506" s="155">
        <f t="shared" ref="H506:I506" si="252">H507</f>
        <v>5100</v>
      </c>
      <c r="I506" s="155">
        <f t="shared" si="252"/>
        <v>5144.18</v>
      </c>
    </row>
    <row r="507" spans="1:9" x14ac:dyDescent="0.25">
      <c r="A507" s="192"/>
      <c r="B507" s="218" t="s">
        <v>519</v>
      </c>
      <c r="C507" s="192"/>
      <c r="D507" s="224" t="s">
        <v>315</v>
      </c>
      <c r="E507" s="163"/>
      <c r="F507" s="163"/>
      <c r="G507" s="163">
        <f>'Rekapitulacija Posebni dio'!E670</f>
        <v>5055.18</v>
      </c>
      <c r="H507" s="163">
        <f>'Rekapitulacija Posebni dio'!F670</f>
        <v>5100</v>
      </c>
      <c r="I507" s="163">
        <f>'Rekapitulacija Posebni dio'!G670</f>
        <v>5144.18</v>
      </c>
    </row>
    <row r="508" spans="1:9" x14ac:dyDescent="0.25">
      <c r="A508" s="192"/>
      <c r="B508" s="417" t="s">
        <v>583</v>
      </c>
      <c r="C508" s="192"/>
      <c r="D508" s="418" t="s">
        <v>638</v>
      </c>
      <c r="E508" s="155"/>
      <c r="F508" s="155"/>
      <c r="G508" s="155">
        <f>G509</f>
        <v>2606.16</v>
      </c>
      <c r="H508" s="155">
        <f t="shared" ref="H508:I509" si="253">H509</f>
        <v>2700</v>
      </c>
      <c r="I508" s="155">
        <f t="shared" si="253"/>
        <v>2800</v>
      </c>
    </row>
    <row r="509" spans="1:9" x14ac:dyDescent="0.25">
      <c r="A509" s="192"/>
      <c r="B509" s="417" t="s">
        <v>584</v>
      </c>
      <c r="C509" s="192"/>
      <c r="D509" s="418" t="s">
        <v>638</v>
      </c>
      <c r="E509" s="155"/>
      <c r="F509" s="155"/>
      <c r="G509" s="155">
        <f>G510</f>
        <v>2606.16</v>
      </c>
      <c r="H509" s="155">
        <f t="shared" si="253"/>
        <v>2700</v>
      </c>
      <c r="I509" s="155">
        <f t="shared" si="253"/>
        <v>2800</v>
      </c>
    </row>
    <row r="510" spans="1:9" x14ac:dyDescent="0.25">
      <c r="A510" s="192"/>
      <c r="B510" s="419" t="s">
        <v>586</v>
      </c>
      <c r="C510" s="192"/>
      <c r="D510" s="331" t="s">
        <v>649</v>
      </c>
      <c r="E510" s="163"/>
      <c r="F510" s="163"/>
      <c r="G510" s="163">
        <f>'Rekapitulacija Posebni dio'!E673</f>
        <v>2606.16</v>
      </c>
      <c r="H510" s="163">
        <f>'Rekapitulacija Posebni dio'!F673</f>
        <v>2700</v>
      </c>
      <c r="I510" s="163">
        <f>'Rekapitulacija Posebni dio'!G673</f>
        <v>2800</v>
      </c>
    </row>
    <row r="511" spans="1:9" x14ac:dyDescent="0.25">
      <c r="A511" s="192"/>
      <c r="B511" s="419"/>
      <c r="C511" s="262" t="s">
        <v>684</v>
      </c>
      <c r="D511" s="263" t="s">
        <v>708</v>
      </c>
      <c r="E511" s="264"/>
      <c r="F511" s="264"/>
      <c r="G511" s="264">
        <f>G492</f>
        <v>156200</v>
      </c>
      <c r="H511" s="264">
        <f t="shared" ref="H511:I511" si="254">H492</f>
        <v>159324</v>
      </c>
      <c r="I511" s="264">
        <f t="shared" si="254"/>
        <v>162510.47999999998</v>
      </c>
    </row>
    <row r="512" spans="1:9" x14ac:dyDescent="0.25">
      <c r="A512" s="247"/>
      <c r="B512" s="248"/>
      <c r="C512" s="262" t="s">
        <v>702</v>
      </c>
      <c r="D512" s="263" t="s">
        <v>703</v>
      </c>
      <c r="E512" s="264" t="e">
        <f>E492+#REF!</f>
        <v>#REF!</v>
      </c>
      <c r="F512" s="264" t="e">
        <f>F492+#REF!</f>
        <v>#REF!</v>
      </c>
      <c r="G512" s="264">
        <f>G511</f>
        <v>156200</v>
      </c>
      <c r="H512" s="264">
        <f t="shared" ref="H512:I512" si="255">H511</f>
        <v>159324</v>
      </c>
      <c r="I512" s="264">
        <f t="shared" si="255"/>
        <v>162510.47999999998</v>
      </c>
    </row>
    <row r="513" spans="1:9" s="118" customFormat="1" x14ac:dyDescent="0.25">
      <c r="A513" s="212" t="s">
        <v>86</v>
      </c>
      <c r="B513" s="212"/>
      <c r="C513" s="213"/>
      <c r="D513" s="214" t="s">
        <v>87</v>
      </c>
      <c r="E513" s="215" t="e">
        <f>E514+E527+#REF!+#REF!+#REF!+#REF!</f>
        <v>#REF!</v>
      </c>
      <c r="F513" s="215" t="e">
        <f>F514+F527+#REF!+#REF!+#REF!+#REF!</f>
        <v>#REF!</v>
      </c>
      <c r="G513" s="215">
        <f>G514+G527+G542</f>
        <v>437409.22</v>
      </c>
      <c r="H513" s="215">
        <f t="shared" ref="H513:I513" si="256">H514+H527+H542</f>
        <v>365485.22</v>
      </c>
      <c r="I513" s="215">
        <f t="shared" si="256"/>
        <v>262923.40000000002</v>
      </c>
    </row>
    <row r="514" spans="1:9" s="118" customFormat="1" x14ac:dyDescent="0.25">
      <c r="A514" s="192"/>
      <c r="B514" s="133">
        <v>31</v>
      </c>
      <c r="C514" s="203"/>
      <c r="D514" s="216" t="s">
        <v>88</v>
      </c>
      <c r="E514" s="136" t="e">
        <f>E515+E518+E524</f>
        <v>#REF!</v>
      </c>
      <c r="F514" s="136" t="e">
        <f>F515+F518+F524</f>
        <v>#REF!</v>
      </c>
      <c r="G514" s="136">
        <f>G515+G518+G524</f>
        <v>395904.89999999997</v>
      </c>
      <c r="H514" s="136">
        <f>H515+H518+H524</f>
        <v>323766.89999999997</v>
      </c>
      <c r="I514" s="136">
        <f>I515+I518+I524</f>
        <v>232227.62</v>
      </c>
    </row>
    <row r="515" spans="1:9" s="131" customFormat="1" x14ac:dyDescent="0.25">
      <c r="A515" s="192"/>
      <c r="B515" s="152">
        <v>311</v>
      </c>
      <c r="C515" s="217"/>
      <c r="D515" s="192" t="s">
        <v>89</v>
      </c>
      <c r="E515" s="155" t="e">
        <f>E516+#REF!+#REF!</f>
        <v>#REF!</v>
      </c>
      <c r="F515" s="155" t="e">
        <f>F516+#REF!+#REF!</f>
        <v>#REF!</v>
      </c>
      <c r="G515" s="155">
        <f>G516</f>
        <v>362148.92</v>
      </c>
      <c r="H515" s="155">
        <f t="shared" ref="H515:I515" si="257">H516</f>
        <v>288648.92</v>
      </c>
      <c r="I515" s="155">
        <f t="shared" si="257"/>
        <v>201425.22999999998</v>
      </c>
    </row>
    <row r="516" spans="1:9" s="131" customFormat="1" x14ac:dyDescent="0.25">
      <c r="A516" s="192"/>
      <c r="B516" s="152">
        <v>3111</v>
      </c>
      <c r="C516" s="217"/>
      <c r="D516" s="192" t="s">
        <v>90</v>
      </c>
      <c r="E516" s="155">
        <f>SUM(E517:E517)</f>
        <v>0</v>
      </c>
      <c r="F516" s="155">
        <f>SUM(F517:F517)</f>
        <v>0</v>
      </c>
      <c r="G516" s="155">
        <f>SUM(G517:G517)</f>
        <v>362148.92</v>
      </c>
      <c r="H516" s="155">
        <f t="shared" ref="H516:I516" si="258">SUM(H517:H517)</f>
        <v>288648.92</v>
      </c>
      <c r="I516" s="155">
        <f t="shared" si="258"/>
        <v>201425.22999999998</v>
      </c>
    </row>
    <row r="517" spans="1:9" s="131" customFormat="1" x14ac:dyDescent="0.25">
      <c r="A517" s="192"/>
      <c r="B517" s="218" t="s">
        <v>484</v>
      </c>
      <c r="C517" s="217"/>
      <c r="D517" s="217" t="s">
        <v>90</v>
      </c>
      <c r="E517" s="163">
        <f>'Rekapitulacija Posebni dio'!C282</f>
        <v>0</v>
      </c>
      <c r="F517" s="163">
        <f>'Rekapitulacija Posebni dio'!D282</f>
        <v>0</v>
      </c>
      <c r="G517" s="163">
        <f>'Rekapitulacija Posebni dio'!E564</f>
        <v>362148.92</v>
      </c>
      <c r="H517" s="163">
        <f>'Rekapitulacija Posebni dio'!F564</f>
        <v>288648.92</v>
      </c>
      <c r="I517" s="163">
        <f>'Rekapitulacija Posebni dio'!G564</f>
        <v>201425.22999999998</v>
      </c>
    </row>
    <row r="518" spans="1:9" s="220" customFormat="1" x14ac:dyDescent="0.25">
      <c r="A518" s="192"/>
      <c r="B518" s="152" t="s">
        <v>97</v>
      </c>
      <c r="C518" s="192"/>
      <c r="D518" s="192" t="s">
        <v>98</v>
      </c>
      <c r="E518" s="155">
        <f t="shared" ref="E518:I518" si="259">SUM(E519)</f>
        <v>0</v>
      </c>
      <c r="F518" s="155">
        <f t="shared" si="259"/>
        <v>0</v>
      </c>
      <c r="G518" s="155">
        <f t="shared" si="259"/>
        <v>5495.42</v>
      </c>
      <c r="H518" s="155">
        <f t="shared" si="259"/>
        <v>5495.42</v>
      </c>
      <c r="I518" s="155">
        <f t="shared" si="259"/>
        <v>4500</v>
      </c>
    </row>
    <row r="519" spans="1:9" s="220" customFormat="1" x14ac:dyDescent="0.25">
      <c r="A519" s="192"/>
      <c r="B519" s="152" t="s">
        <v>99</v>
      </c>
      <c r="C519" s="192"/>
      <c r="D519" s="192" t="s">
        <v>98</v>
      </c>
      <c r="E519" s="155">
        <f>SUM(E520:E523)</f>
        <v>0</v>
      </c>
      <c r="F519" s="155">
        <f>SUM(F520:F523)</f>
        <v>0</v>
      </c>
      <c r="G519" s="155">
        <f>SUM(G520:G523)</f>
        <v>5495.42</v>
      </c>
      <c r="H519" s="155">
        <f>SUM(H520:H523)</f>
        <v>5495.42</v>
      </c>
      <c r="I519" s="155">
        <f>SUM(I520:I523)</f>
        <v>4500</v>
      </c>
    </row>
    <row r="520" spans="1:9" s="220" customFormat="1" x14ac:dyDescent="0.25">
      <c r="A520" s="192"/>
      <c r="B520" s="218" t="s">
        <v>489</v>
      </c>
      <c r="C520" s="192"/>
      <c r="D520" s="331" t="s">
        <v>404</v>
      </c>
      <c r="E520" s="163">
        <f>'Rekapitulacija Posebni dio'!C292</f>
        <v>0</v>
      </c>
      <c r="F520" s="163">
        <f>'Rekapitulacija Posebni dio'!D292</f>
        <v>0</v>
      </c>
      <c r="G520" s="163">
        <f>'Rekapitulacija Posebni dio'!E567</f>
        <v>300</v>
      </c>
      <c r="H520" s="163">
        <f>'Rekapitulacija Posebni dio'!F567</f>
        <v>300</v>
      </c>
      <c r="I520" s="163">
        <f>'Rekapitulacija Posebni dio'!G567</f>
        <v>300</v>
      </c>
    </row>
    <row r="521" spans="1:9" s="220" customFormat="1" x14ac:dyDescent="0.25">
      <c r="A521" s="192"/>
      <c r="B521" s="218" t="s">
        <v>492</v>
      </c>
      <c r="C521" s="192"/>
      <c r="D521" s="331" t="s">
        <v>406</v>
      </c>
      <c r="E521" s="163">
        <f>'Rekapitulacija Posebni dio'!C295</f>
        <v>0</v>
      </c>
      <c r="F521" s="163">
        <f>'Rekapitulacija Posebni dio'!D295</f>
        <v>0</v>
      </c>
      <c r="G521" s="163">
        <f>'Rekapitulacija Posebni dio'!E568</f>
        <v>2100</v>
      </c>
      <c r="H521" s="163">
        <f>'Rekapitulacija Posebni dio'!F568</f>
        <v>2100</v>
      </c>
      <c r="I521" s="163">
        <f>'Rekapitulacija Posebni dio'!G568</f>
        <v>1800</v>
      </c>
    </row>
    <row r="522" spans="1:9" s="220" customFormat="1" x14ac:dyDescent="0.25">
      <c r="A522" s="192"/>
      <c r="B522" s="218" t="s">
        <v>629</v>
      </c>
      <c r="C522" s="192"/>
      <c r="D522" s="331" t="s">
        <v>630</v>
      </c>
      <c r="E522" s="163"/>
      <c r="F522" s="163"/>
      <c r="G522" s="163">
        <f>'Rekapitulacija Posebni dio'!E569</f>
        <v>1600</v>
      </c>
      <c r="H522" s="163">
        <f>'Rekapitulacija Posebni dio'!F569</f>
        <v>1600</v>
      </c>
      <c r="I522" s="163">
        <f>'Rekapitulacija Posebni dio'!G569</f>
        <v>1600</v>
      </c>
    </row>
    <row r="523" spans="1:9" s="219" customFormat="1" x14ac:dyDescent="0.25">
      <c r="A523" s="217"/>
      <c r="B523" s="218" t="s">
        <v>493</v>
      </c>
      <c r="C523" s="217"/>
      <c r="D523" s="331" t="s">
        <v>401</v>
      </c>
      <c r="E523" s="163">
        <f>'Rekapitulacija Posebni dio'!C296</f>
        <v>0</v>
      </c>
      <c r="F523" s="163">
        <f>'Rekapitulacija Posebni dio'!D296</f>
        <v>0</v>
      </c>
      <c r="G523" s="163">
        <f>'Rekapitulacija Posebni dio'!E570</f>
        <v>1495.42</v>
      </c>
      <c r="H523" s="163">
        <f>'Rekapitulacija Posebni dio'!F570</f>
        <v>1495.42</v>
      </c>
      <c r="I523" s="163">
        <f>'Rekapitulacija Posebni dio'!G570</f>
        <v>800</v>
      </c>
    </row>
    <row r="524" spans="1:9" s="219" customFormat="1" x14ac:dyDescent="0.25">
      <c r="A524" s="192"/>
      <c r="B524" s="156">
        <v>313</v>
      </c>
      <c r="C524" s="192"/>
      <c r="D524" s="192" t="s">
        <v>100</v>
      </c>
      <c r="E524" s="221" t="e">
        <f>E525+#REF!</f>
        <v>#REF!</v>
      </c>
      <c r="F524" s="221" t="e">
        <f>F525+#REF!</f>
        <v>#REF!</v>
      </c>
      <c r="G524" s="221">
        <f>G525</f>
        <v>28260.559999999998</v>
      </c>
      <c r="H524" s="221">
        <f t="shared" ref="H524:I524" si="260">H525</f>
        <v>29622.559999999998</v>
      </c>
      <c r="I524" s="221">
        <f t="shared" si="260"/>
        <v>26302.39</v>
      </c>
    </row>
    <row r="525" spans="1:9" s="219" customFormat="1" x14ac:dyDescent="0.25">
      <c r="A525" s="192"/>
      <c r="B525" s="156">
        <v>3132</v>
      </c>
      <c r="C525" s="192"/>
      <c r="D525" s="192" t="s">
        <v>101</v>
      </c>
      <c r="E525" s="221">
        <f t="shared" ref="E525:I525" si="261">SUM(E526)</f>
        <v>0</v>
      </c>
      <c r="F525" s="221">
        <f t="shared" si="261"/>
        <v>0</v>
      </c>
      <c r="G525" s="221">
        <f t="shared" si="261"/>
        <v>28260.559999999998</v>
      </c>
      <c r="H525" s="221">
        <f t="shared" si="261"/>
        <v>29622.559999999998</v>
      </c>
      <c r="I525" s="221">
        <f t="shared" si="261"/>
        <v>26302.39</v>
      </c>
    </row>
    <row r="526" spans="1:9" s="118" customFormat="1" x14ac:dyDescent="0.25">
      <c r="A526" s="217"/>
      <c r="B526" s="160" t="s">
        <v>494</v>
      </c>
      <c r="C526" s="217"/>
      <c r="D526" s="217" t="s">
        <v>101</v>
      </c>
      <c r="E526" s="163">
        <f>'Rekapitulacija Posebni dio'!C299</f>
        <v>0</v>
      </c>
      <c r="F526" s="163">
        <f>'Rekapitulacija Posebni dio'!D299</f>
        <v>0</v>
      </c>
      <c r="G526" s="163">
        <f>'Rekapitulacija Posebni dio'!E573</f>
        <v>28260.559999999998</v>
      </c>
      <c r="H526" s="163">
        <f>'Rekapitulacija Posebni dio'!F573</f>
        <v>29622.559999999998</v>
      </c>
      <c r="I526" s="163">
        <f>'Rekapitulacija Posebni dio'!G573</f>
        <v>26302.39</v>
      </c>
    </row>
    <row r="527" spans="1:9" s="118" customFormat="1" x14ac:dyDescent="0.25">
      <c r="A527" s="192"/>
      <c r="B527" s="133">
        <v>32</v>
      </c>
      <c r="C527" s="203"/>
      <c r="D527" s="216" t="s">
        <v>102</v>
      </c>
      <c r="E527" s="136" t="e">
        <f>E536+#REF!+E573+#REF!+#REF!+#REF!</f>
        <v>#REF!</v>
      </c>
      <c r="F527" s="136" t="e">
        <f>F536+#REF!+F573+#REF!+#REF!+#REF!</f>
        <v>#REF!</v>
      </c>
      <c r="G527" s="136">
        <f>G528+G537</f>
        <v>38304.32</v>
      </c>
      <c r="H527" s="136">
        <f t="shared" ref="H527:I527" si="262">H528+H537</f>
        <v>38454.32</v>
      </c>
      <c r="I527" s="136">
        <f t="shared" si="262"/>
        <v>27366.5</v>
      </c>
    </row>
    <row r="528" spans="1:9" x14ac:dyDescent="0.25">
      <c r="A528" s="192"/>
      <c r="B528" s="152" t="s">
        <v>215</v>
      </c>
      <c r="C528" s="192"/>
      <c r="D528" s="236" t="s">
        <v>103</v>
      </c>
      <c r="E528" s="268" t="e">
        <f>E529+E533+E535</f>
        <v>#REF!</v>
      </c>
      <c r="F528" s="268" t="e">
        <f>F529+F533+F535</f>
        <v>#REF!</v>
      </c>
      <c r="G528" s="268">
        <f>G529+G533+G535</f>
        <v>35422.639999999999</v>
      </c>
      <c r="H528" s="268">
        <f t="shared" ref="H528:I528" si="263">H529+H533+H535</f>
        <v>35572.639999999999</v>
      </c>
      <c r="I528" s="268">
        <f t="shared" si="263"/>
        <v>25445</v>
      </c>
    </row>
    <row r="529" spans="1:9" x14ac:dyDescent="0.25">
      <c r="A529" s="192"/>
      <c r="B529" s="152" t="s">
        <v>104</v>
      </c>
      <c r="C529" s="192"/>
      <c r="D529" s="236" t="s">
        <v>105</v>
      </c>
      <c r="E529" s="268" t="e">
        <f>E530+E531+E532</f>
        <v>#REF!</v>
      </c>
      <c r="F529" s="268" t="e">
        <f t="shared" ref="F529:I529" si="264">F530+F531+F532</f>
        <v>#REF!</v>
      </c>
      <c r="G529" s="268">
        <f t="shared" si="264"/>
        <v>11616.17</v>
      </c>
      <c r="H529" s="268">
        <f t="shared" si="264"/>
        <v>11666.17</v>
      </c>
      <c r="I529" s="268">
        <f t="shared" si="264"/>
        <v>8003</v>
      </c>
    </row>
    <row r="530" spans="1:9" x14ac:dyDescent="0.25">
      <c r="A530" s="192"/>
      <c r="B530" s="218" t="s">
        <v>525</v>
      </c>
      <c r="C530" s="192"/>
      <c r="D530" s="237" t="s">
        <v>407</v>
      </c>
      <c r="E530" s="267" t="e">
        <f>'Rekapitulacija Posebni dio'!C645+'Rekapitulacija Posebni dio'!#REF!+'Rekapitulacija Posebni dio'!C680+'Rekapitulacija Posebni dio'!#REF!+'Rekapitulacija Posebni dio'!C722</f>
        <v>#REF!</v>
      </c>
      <c r="F530" s="267" t="e">
        <f>'Rekapitulacija Posebni dio'!D645+'Rekapitulacija Posebni dio'!#REF!+'Rekapitulacija Posebni dio'!D680+'Rekapitulacija Posebni dio'!#REF!+'Rekapitulacija Posebni dio'!D722</f>
        <v>#REF!</v>
      </c>
      <c r="G530" s="267">
        <f>'Rekapitulacija Posebni dio'!E577</f>
        <v>5116.17</v>
      </c>
      <c r="H530" s="267">
        <f>'Rekapitulacija Posebni dio'!F577</f>
        <v>5166.17</v>
      </c>
      <c r="I530" s="267">
        <f>'Rekapitulacija Posebni dio'!G577</f>
        <v>1503</v>
      </c>
    </row>
    <row r="531" spans="1:9" x14ac:dyDescent="0.25">
      <c r="A531" s="192"/>
      <c r="B531" s="218" t="s">
        <v>532</v>
      </c>
      <c r="C531" s="192"/>
      <c r="D531" s="237" t="s">
        <v>409</v>
      </c>
      <c r="E531" s="267" t="e">
        <f>'Rekapitulacija Posebni dio'!#REF!+'Rekapitulacija Posebni dio'!C681</f>
        <v>#REF!</v>
      </c>
      <c r="F531" s="267" t="e">
        <f>'Rekapitulacija Posebni dio'!#REF!+'Rekapitulacija Posebni dio'!D681</f>
        <v>#REF!</v>
      </c>
      <c r="G531" s="267">
        <f>'Rekapitulacija Posebni dio'!E578</f>
        <v>4500</v>
      </c>
      <c r="H531" s="267">
        <f>'Rekapitulacija Posebni dio'!F578</f>
        <v>4500</v>
      </c>
      <c r="I531" s="267">
        <f>'Rekapitulacija Posebni dio'!G578</f>
        <v>4500</v>
      </c>
    </row>
    <row r="532" spans="1:9" x14ac:dyDescent="0.25">
      <c r="A532" s="192"/>
      <c r="B532" s="218" t="s">
        <v>514</v>
      </c>
      <c r="C532" s="192"/>
      <c r="D532" s="237" t="s">
        <v>410</v>
      </c>
      <c r="E532" s="267" t="e">
        <f>'Rekapitulacija Posebni dio'!#REF!+'Rekapitulacija Posebni dio'!C682</f>
        <v>#REF!</v>
      </c>
      <c r="F532" s="267" t="e">
        <f>'Rekapitulacija Posebni dio'!#REF!+'Rekapitulacija Posebni dio'!D682</f>
        <v>#REF!</v>
      </c>
      <c r="G532" s="267">
        <f>'Rekapitulacija Posebni dio'!E579</f>
        <v>2000</v>
      </c>
      <c r="H532" s="267">
        <f>'Rekapitulacija Posebni dio'!F579</f>
        <v>2000</v>
      </c>
      <c r="I532" s="267">
        <f>'Rekapitulacija Posebni dio'!G579</f>
        <v>2000</v>
      </c>
    </row>
    <row r="533" spans="1:9" x14ac:dyDescent="0.25">
      <c r="A533" s="192"/>
      <c r="B533" s="152" t="s">
        <v>106</v>
      </c>
      <c r="C533" s="192"/>
      <c r="D533" s="236" t="s">
        <v>107</v>
      </c>
      <c r="E533" s="268" t="e">
        <f t="shared" ref="E533:I533" si="265">SUM(E534)</f>
        <v>#REF!</v>
      </c>
      <c r="F533" s="268" t="e">
        <f>SUM(F534)</f>
        <v>#REF!</v>
      </c>
      <c r="G533" s="268">
        <f t="shared" si="265"/>
        <v>17905.43</v>
      </c>
      <c r="H533" s="268">
        <f t="shared" si="265"/>
        <v>18005.43</v>
      </c>
      <c r="I533" s="268">
        <f t="shared" si="265"/>
        <v>13200</v>
      </c>
    </row>
    <row r="534" spans="1:9" x14ac:dyDescent="0.25">
      <c r="A534" s="217"/>
      <c r="B534" s="218" t="s">
        <v>495</v>
      </c>
      <c r="C534" s="217"/>
      <c r="D534" s="237" t="s">
        <v>107</v>
      </c>
      <c r="E534" s="267" t="e">
        <f>'Rekapitulacija Posebni dio'!C649+'Rekapitulacija Posebni dio'!#REF!+'Rekapitulacija Posebni dio'!C684+'Rekapitulacija Posebni dio'!#REF!</f>
        <v>#REF!</v>
      </c>
      <c r="F534" s="267" t="e">
        <f>'Rekapitulacija Posebni dio'!D649+'Rekapitulacija Posebni dio'!#REF!+'Rekapitulacija Posebni dio'!D684+'Rekapitulacija Posebni dio'!#REF!</f>
        <v>#REF!</v>
      </c>
      <c r="G534" s="520">
        <f>'Rekapitulacija Posebni dio'!E581</f>
        <v>17905.43</v>
      </c>
      <c r="H534" s="520">
        <f>'Rekapitulacija Posebni dio'!F581</f>
        <v>18005.43</v>
      </c>
      <c r="I534" s="520">
        <f>'Rekapitulacija Posebni dio'!G581</f>
        <v>13200</v>
      </c>
    </row>
    <row r="535" spans="1:9" x14ac:dyDescent="0.25">
      <c r="A535" s="217"/>
      <c r="B535" s="152" t="s">
        <v>108</v>
      </c>
      <c r="C535" s="192"/>
      <c r="D535" s="236" t="s">
        <v>109</v>
      </c>
      <c r="E535" s="268" t="e">
        <f>SUM(E536:E536)</f>
        <v>#REF!</v>
      </c>
      <c r="F535" s="268" t="e">
        <f>SUM(F536:F536)</f>
        <v>#REF!</v>
      </c>
      <c r="G535" s="268">
        <f>SUM(G536:G536)</f>
        <v>5901.04</v>
      </c>
      <c r="H535" s="268">
        <f>SUM(H536:H536)</f>
        <v>5901.04</v>
      </c>
      <c r="I535" s="268">
        <f>SUM(I536:I536)</f>
        <v>4242</v>
      </c>
    </row>
    <row r="536" spans="1:9" x14ac:dyDescent="0.25">
      <c r="A536" s="217"/>
      <c r="B536" s="218" t="s">
        <v>515</v>
      </c>
      <c r="C536" s="217"/>
      <c r="D536" s="237" t="s">
        <v>412</v>
      </c>
      <c r="E536" s="267" t="e">
        <f>'Rekapitulacija Posebni dio'!C651+'Rekapitulacija Posebni dio'!#REF!+'Rekapitulacija Posebni dio'!C686</f>
        <v>#REF!</v>
      </c>
      <c r="F536" s="267" t="e">
        <f>'Rekapitulacija Posebni dio'!D651+'Rekapitulacija Posebni dio'!#REF!+'Rekapitulacija Posebni dio'!D686</f>
        <v>#REF!</v>
      </c>
      <c r="G536" s="267">
        <f>'Rekapitulacija Posebni dio'!E583</f>
        <v>5901.04</v>
      </c>
      <c r="H536" s="267">
        <f>'Rekapitulacija Posebni dio'!F583</f>
        <v>5901.04</v>
      </c>
      <c r="I536" s="267">
        <f>'Rekapitulacija Posebni dio'!G583</f>
        <v>4242</v>
      </c>
    </row>
    <row r="537" spans="1:9" x14ac:dyDescent="0.25">
      <c r="A537" s="192"/>
      <c r="B537" s="152" t="s">
        <v>126</v>
      </c>
      <c r="C537" s="192"/>
      <c r="D537" s="192" t="s">
        <v>127</v>
      </c>
      <c r="E537" s="221" t="e">
        <f>#REF!+#REF!+#REF!+#REF!+#REF!+E538+E540</f>
        <v>#REF!</v>
      </c>
      <c r="F537" s="221" t="e">
        <f>#REF!+#REF!+#REF!+#REF!+#REF!+F538+F540</f>
        <v>#REF!</v>
      </c>
      <c r="G537" s="221">
        <f>G538+G540</f>
        <v>2881.68</v>
      </c>
      <c r="H537" s="221">
        <f t="shared" ref="H537:I537" si="266">H538+H540</f>
        <v>2881.68</v>
      </c>
      <c r="I537" s="221">
        <f t="shared" si="266"/>
        <v>1921.5</v>
      </c>
    </row>
    <row r="538" spans="1:9" x14ac:dyDescent="0.25">
      <c r="A538" s="192"/>
      <c r="B538" s="152" t="s">
        <v>218</v>
      </c>
      <c r="C538" s="192"/>
      <c r="D538" s="192" t="s">
        <v>138</v>
      </c>
      <c r="E538" s="221" t="e">
        <f t="shared" ref="E538:I538" si="267">SUM(E539)</f>
        <v>#REF!</v>
      </c>
      <c r="F538" s="221" t="e">
        <f t="shared" si="267"/>
        <v>#REF!</v>
      </c>
      <c r="G538" s="221">
        <f t="shared" si="267"/>
        <v>2440.2399999999998</v>
      </c>
      <c r="H538" s="221">
        <f t="shared" si="267"/>
        <v>2440.2399999999998</v>
      </c>
      <c r="I538" s="221">
        <f t="shared" si="267"/>
        <v>1921.5</v>
      </c>
    </row>
    <row r="539" spans="1:9" x14ac:dyDescent="0.25">
      <c r="A539" s="192"/>
      <c r="B539" s="218" t="s">
        <v>518</v>
      </c>
      <c r="C539" s="217"/>
      <c r="D539" s="217" t="s">
        <v>442</v>
      </c>
      <c r="E539" s="222" t="e">
        <f>'Rekapitulacija Posebni dio'!C649+'Rekapitulacija Posebni dio'!C690+'Rekapitulacija Posebni dio'!#REF!</f>
        <v>#REF!</v>
      </c>
      <c r="F539" s="222" t="e">
        <f>'Rekapitulacija Posebni dio'!D649+'Rekapitulacija Posebni dio'!D690+'Rekapitulacija Posebni dio'!#REF!</f>
        <v>#REF!</v>
      </c>
      <c r="G539" s="222">
        <f>'Rekapitulacija Posebni dio'!E588</f>
        <v>2440.2399999999998</v>
      </c>
      <c r="H539" s="222">
        <f>'Rekapitulacija Posebni dio'!F588</f>
        <v>2440.2399999999998</v>
      </c>
      <c r="I539" s="222">
        <f>'Rekapitulacija Posebni dio'!G588</f>
        <v>1921.5</v>
      </c>
    </row>
    <row r="540" spans="1:9" x14ac:dyDescent="0.25">
      <c r="A540" s="521"/>
      <c r="B540" s="152" t="s">
        <v>141</v>
      </c>
      <c r="C540" s="192"/>
      <c r="D540" s="226" t="s">
        <v>142</v>
      </c>
      <c r="E540" s="155"/>
      <c r="F540" s="155"/>
      <c r="G540" s="155">
        <f>G541</f>
        <v>441.44</v>
      </c>
      <c r="H540" s="155">
        <f t="shared" ref="H540" si="268">H541</f>
        <v>441.44</v>
      </c>
      <c r="I540" s="155">
        <f t="shared" ref="I540" si="269">I541</f>
        <v>0</v>
      </c>
    </row>
    <row r="541" spans="1:9" x14ac:dyDescent="0.25">
      <c r="A541" s="521"/>
      <c r="B541" s="218" t="s">
        <v>519</v>
      </c>
      <c r="C541" s="192"/>
      <c r="D541" s="224" t="s">
        <v>315</v>
      </c>
      <c r="E541" s="163"/>
      <c r="F541" s="163"/>
      <c r="G541" s="163">
        <f>'Rekapitulacija Posebni dio'!E590</f>
        <v>441.44</v>
      </c>
      <c r="H541" s="163">
        <f>'Rekapitulacija Posebni dio'!F590</f>
        <v>441.44</v>
      </c>
      <c r="I541" s="163">
        <f>'Rekapitulacija Posebni dio'!G590</f>
        <v>0</v>
      </c>
    </row>
    <row r="542" spans="1:9" x14ac:dyDescent="0.25">
      <c r="A542" s="217"/>
      <c r="B542" s="165">
        <v>37</v>
      </c>
      <c r="C542" s="230"/>
      <c r="D542" s="338" t="s">
        <v>162</v>
      </c>
      <c r="E542" s="168">
        <f t="shared" ref="E542:I543" si="270">SUM(E543)</f>
        <v>0</v>
      </c>
      <c r="F542" s="168">
        <f t="shared" si="270"/>
        <v>0</v>
      </c>
      <c r="G542" s="168">
        <f t="shared" si="270"/>
        <v>3200</v>
      </c>
      <c r="H542" s="168">
        <f t="shared" si="270"/>
        <v>3264</v>
      </c>
      <c r="I542" s="168">
        <f t="shared" si="270"/>
        <v>3329.28</v>
      </c>
    </row>
    <row r="543" spans="1:9" x14ac:dyDescent="0.25">
      <c r="A543" s="217"/>
      <c r="B543" s="169">
        <v>372</v>
      </c>
      <c r="C543" s="151"/>
      <c r="D543" s="339" t="s">
        <v>163</v>
      </c>
      <c r="E543" s="155">
        <f t="shared" si="270"/>
        <v>0</v>
      </c>
      <c r="F543" s="155">
        <f t="shared" si="270"/>
        <v>0</v>
      </c>
      <c r="G543" s="155">
        <f t="shared" si="270"/>
        <v>3200</v>
      </c>
      <c r="H543" s="155">
        <f t="shared" si="270"/>
        <v>3264</v>
      </c>
      <c r="I543" s="155">
        <f t="shared" si="270"/>
        <v>3329.28</v>
      </c>
    </row>
    <row r="544" spans="1:9" x14ac:dyDescent="0.25">
      <c r="A544" s="217"/>
      <c r="B544" s="169">
        <v>3721</v>
      </c>
      <c r="C544" s="151"/>
      <c r="D544" s="339" t="s">
        <v>164</v>
      </c>
      <c r="E544" s="155">
        <f>SUM(E545:E545)</f>
        <v>0</v>
      </c>
      <c r="F544" s="155">
        <f>SUM(F545:F545)</f>
        <v>0</v>
      </c>
      <c r="G544" s="155">
        <f>SUM(G545:G545)</f>
        <v>3200</v>
      </c>
      <c r="H544" s="155">
        <f>SUM(H545:H545)</f>
        <v>3264</v>
      </c>
      <c r="I544" s="155">
        <f>SUM(I545:I545)</f>
        <v>3329.28</v>
      </c>
    </row>
    <row r="545" spans="1:9" x14ac:dyDescent="0.25">
      <c r="A545" s="217"/>
      <c r="B545" s="337">
        <v>37215</v>
      </c>
      <c r="C545" s="132"/>
      <c r="D545" s="336" t="s">
        <v>463</v>
      </c>
      <c r="E545" s="163">
        <f>'Rekapitulacija Posebni dio'!C311</f>
        <v>0</v>
      </c>
      <c r="F545" s="163">
        <f>'Rekapitulacija Posebni dio'!D311</f>
        <v>0</v>
      </c>
      <c r="G545" s="163">
        <f>'Rekapitulacija Posebni dio'!E594</f>
        <v>3200</v>
      </c>
      <c r="H545" s="163">
        <f>'Rekapitulacija Posebni dio'!F594</f>
        <v>3264</v>
      </c>
      <c r="I545" s="163">
        <f>'Rekapitulacija Posebni dio'!G594</f>
        <v>3329.28</v>
      </c>
    </row>
    <row r="546" spans="1:9" x14ac:dyDescent="0.25">
      <c r="A546" s="521"/>
      <c r="B546" s="525"/>
      <c r="C546" s="262" t="s">
        <v>686</v>
      </c>
      <c r="D546" s="263" t="s">
        <v>707</v>
      </c>
      <c r="E546" s="264"/>
      <c r="F546" s="264"/>
      <c r="G546" s="264">
        <f>G513</f>
        <v>437409.22</v>
      </c>
      <c r="H546" s="264">
        <f t="shared" ref="H546:I546" si="271">H513</f>
        <v>365485.22</v>
      </c>
      <c r="I546" s="264">
        <f t="shared" si="271"/>
        <v>262923.40000000002</v>
      </c>
    </row>
    <row r="547" spans="1:9" x14ac:dyDescent="0.25">
      <c r="A547" s="521"/>
      <c r="B547" s="525"/>
      <c r="C547" s="262" t="s">
        <v>705</v>
      </c>
      <c r="D547" s="263" t="s">
        <v>706</v>
      </c>
      <c r="E547" s="264"/>
      <c r="F547" s="264"/>
      <c r="G547" s="264">
        <f>G546</f>
        <v>437409.22</v>
      </c>
      <c r="H547" s="264">
        <f t="shared" ref="H547:I547" si="272">H546</f>
        <v>365485.22</v>
      </c>
      <c r="I547" s="264">
        <f t="shared" si="272"/>
        <v>262923.40000000002</v>
      </c>
    </row>
    <row r="548" spans="1:9" x14ac:dyDescent="0.25">
      <c r="A548" s="521"/>
      <c r="B548" s="525"/>
      <c r="C548" s="262" t="s">
        <v>704</v>
      </c>
      <c r="D548" s="263" t="s">
        <v>711</v>
      </c>
      <c r="E548" s="264"/>
      <c r="F548" s="264"/>
      <c r="G548" s="264">
        <f>+G491+G512+G547</f>
        <v>675923.83</v>
      </c>
      <c r="H548" s="264">
        <f t="shared" ref="H548:I548" si="273">+H491+H512+H547</f>
        <v>593123.82999999996</v>
      </c>
      <c r="I548" s="264">
        <f t="shared" si="273"/>
        <v>493748.49</v>
      </c>
    </row>
    <row r="549" spans="1:9" x14ac:dyDescent="0.25">
      <c r="A549" s="212" t="s">
        <v>86</v>
      </c>
      <c r="B549" s="212"/>
      <c r="C549" s="213"/>
      <c r="D549" s="214" t="s">
        <v>87</v>
      </c>
      <c r="E549" s="274">
        <f t="shared" ref="E549:I549" si="274">E550</f>
        <v>0</v>
      </c>
      <c r="F549" s="274">
        <f t="shared" si="274"/>
        <v>0</v>
      </c>
      <c r="G549" s="274">
        <f t="shared" si="274"/>
        <v>2000</v>
      </c>
      <c r="H549" s="274">
        <f t="shared" si="274"/>
        <v>2220</v>
      </c>
      <c r="I549" s="274">
        <f t="shared" si="274"/>
        <v>2440.4</v>
      </c>
    </row>
    <row r="550" spans="1:9" x14ac:dyDescent="0.25">
      <c r="A550" s="192"/>
      <c r="B550" s="133">
        <v>32</v>
      </c>
      <c r="C550" s="203"/>
      <c r="D550" s="216" t="s">
        <v>102</v>
      </c>
      <c r="E550" s="168">
        <f>E551+E556+E560+E563</f>
        <v>0</v>
      </c>
      <c r="F550" s="168">
        <f t="shared" ref="F550:I550" si="275">F551+F556+F560+F563</f>
        <v>0</v>
      </c>
      <c r="G550" s="168">
        <f t="shared" si="275"/>
        <v>2000</v>
      </c>
      <c r="H550" s="168">
        <f t="shared" si="275"/>
        <v>2220</v>
      </c>
      <c r="I550" s="168">
        <f t="shared" si="275"/>
        <v>2440.4</v>
      </c>
    </row>
    <row r="551" spans="1:9" x14ac:dyDescent="0.25">
      <c r="A551" s="192"/>
      <c r="B551" s="152">
        <v>321</v>
      </c>
      <c r="C551" s="192"/>
      <c r="D551" s="192" t="s">
        <v>103</v>
      </c>
      <c r="E551" s="155">
        <f t="shared" ref="E551" si="276">E552+E555</f>
        <v>0</v>
      </c>
      <c r="F551" s="155">
        <f t="shared" ref="F551:I551" si="277">F552+F555</f>
        <v>0</v>
      </c>
      <c r="G551" s="155">
        <f t="shared" si="277"/>
        <v>1000</v>
      </c>
      <c r="H551" s="155">
        <f t="shared" si="277"/>
        <v>1200</v>
      </c>
      <c r="I551" s="155">
        <f t="shared" si="277"/>
        <v>1400</v>
      </c>
    </row>
    <row r="552" spans="1:9" x14ac:dyDescent="0.25">
      <c r="A552" s="192"/>
      <c r="B552" s="152" t="s">
        <v>104</v>
      </c>
      <c r="C552" s="192"/>
      <c r="D552" s="192" t="s">
        <v>105</v>
      </c>
      <c r="E552" s="155">
        <f t="shared" ref="E552" si="278">SUM(E553:E554)</f>
        <v>0</v>
      </c>
      <c r="F552" s="155">
        <f t="shared" ref="F552:I552" si="279">SUM(F553:F554)</f>
        <v>0</v>
      </c>
      <c r="G552" s="155">
        <f t="shared" si="279"/>
        <v>1000</v>
      </c>
      <c r="H552" s="155">
        <f t="shared" si="279"/>
        <v>1200</v>
      </c>
      <c r="I552" s="155">
        <f t="shared" si="279"/>
        <v>1400</v>
      </c>
    </row>
    <row r="553" spans="1:9" x14ac:dyDescent="0.25">
      <c r="A553" s="192"/>
      <c r="B553" s="218" t="s">
        <v>525</v>
      </c>
      <c r="C553" s="217"/>
      <c r="D553" s="217" t="s">
        <v>407</v>
      </c>
      <c r="E553" s="163">
        <f>'Rekapitulacija Posebni dio'!C397</f>
        <v>0</v>
      </c>
      <c r="F553" s="163">
        <f>'Rekapitulacija Posebni dio'!D397</f>
        <v>0</v>
      </c>
      <c r="G553" s="163">
        <f>'Rekapitulacija Posebni dio'!E397</f>
        <v>500</v>
      </c>
      <c r="H553" s="163">
        <f>'Rekapitulacija Posebni dio'!F397</f>
        <v>600</v>
      </c>
      <c r="I553" s="163">
        <f>'Rekapitulacija Posebni dio'!G397</f>
        <v>700</v>
      </c>
    </row>
    <row r="554" spans="1:9" x14ac:dyDescent="0.25">
      <c r="A554" s="217"/>
      <c r="B554" s="218" t="s">
        <v>514</v>
      </c>
      <c r="C554" s="217"/>
      <c r="D554" s="217" t="s">
        <v>410</v>
      </c>
      <c r="E554" s="163">
        <f>'Rekapitulacija Posebni dio'!C398</f>
        <v>0</v>
      </c>
      <c r="F554" s="163">
        <f>'Rekapitulacija Posebni dio'!D398</f>
        <v>0</v>
      </c>
      <c r="G554" s="163">
        <f>'Rekapitulacija Posebni dio'!E398</f>
        <v>500</v>
      </c>
      <c r="H554" s="163">
        <f>'Rekapitulacija Posebni dio'!F398</f>
        <v>600</v>
      </c>
      <c r="I554" s="163">
        <f>'Rekapitulacija Posebni dio'!G398</f>
        <v>700</v>
      </c>
    </row>
    <row r="555" spans="1:9" hidden="1" x14ac:dyDescent="0.25">
      <c r="A555" s="217"/>
      <c r="B555" s="152" t="s">
        <v>108</v>
      </c>
      <c r="C555" s="192"/>
      <c r="D555" s="192" t="s">
        <v>109</v>
      </c>
      <c r="E555" s="163"/>
      <c r="F555" s="163"/>
      <c r="G555" s="163"/>
      <c r="H555" s="163"/>
      <c r="I555" s="163"/>
    </row>
    <row r="556" spans="1:9" s="130" customFormat="1" hidden="1" x14ac:dyDescent="0.25">
      <c r="A556" s="192"/>
      <c r="B556" s="152" t="s">
        <v>112</v>
      </c>
      <c r="C556" s="192"/>
      <c r="D556" s="192" t="s">
        <v>113</v>
      </c>
      <c r="E556" s="155">
        <f t="shared" ref="E556:I557" si="280">E557</f>
        <v>0</v>
      </c>
      <c r="F556" s="155">
        <f t="shared" si="280"/>
        <v>0</v>
      </c>
      <c r="G556" s="155">
        <f t="shared" si="280"/>
        <v>0</v>
      </c>
      <c r="H556" s="155">
        <f t="shared" si="280"/>
        <v>0</v>
      </c>
      <c r="I556" s="155">
        <f t="shared" si="280"/>
        <v>0</v>
      </c>
    </row>
    <row r="557" spans="1:9" s="130" customFormat="1" hidden="1" x14ac:dyDescent="0.25">
      <c r="A557" s="192"/>
      <c r="B557" s="152" t="s">
        <v>120</v>
      </c>
      <c r="C557" s="192"/>
      <c r="D557" s="192" t="s">
        <v>330</v>
      </c>
      <c r="E557" s="155">
        <f t="shared" si="280"/>
        <v>0</v>
      </c>
      <c r="F557" s="155">
        <f t="shared" si="280"/>
        <v>0</v>
      </c>
      <c r="G557" s="155">
        <f t="shared" si="280"/>
        <v>0</v>
      </c>
      <c r="H557" s="155">
        <f t="shared" si="280"/>
        <v>0</v>
      </c>
      <c r="I557" s="155">
        <f t="shared" si="280"/>
        <v>0</v>
      </c>
    </row>
    <row r="558" spans="1:9" s="130" customFormat="1" hidden="1" x14ac:dyDescent="0.25">
      <c r="A558" s="192"/>
      <c r="B558" s="218" t="s">
        <v>540</v>
      </c>
      <c r="C558" s="192"/>
      <c r="D558" s="217" t="s">
        <v>426</v>
      </c>
      <c r="E558" s="163">
        <f>'Rekapitulacija Posebni dio'!C690</f>
        <v>0</v>
      </c>
      <c r="F558" s="163">
        <f>'Rekapitulacija Posebni dio'!D690</f>
        <v>0</v>
      </c>
      <c r="G558" s="163">
        <f>'Rekapitulacija Posebni dio'!E690</f>
        <v>0</v>
      </c>
      <c r="H558" s="163">
        <f>'Rekapitulacija Posebni dio'!F690</f>
        <v>0</v>
      </c>
      <c r="I558" s="163">
        <f>'Rekapitulacija Posebni dio'!G690</f>
        <v>0</v>
      </c>
    </row>
    <row r="559" spans="1:9" hidden="1" x14ac:dyDescent="0.25">
      <c r="A559" s="217"/>
      <c r="B559" s="152" t="s">
        <v>116</v>
      </c>
      <c r="C559" s="192"/>
      <c r="D559" s="192" t="s">
        <v>117</v>
      </c>
      <c r="E559" s="163"/>
      <c r="F559" s="163"/>
      <c r="G559" s="163"/>
      <c r="H559" s="163"/>
      <c r="I559" s="163"/>
    </row>
    <row r="560" spans="1:9" hidden="1" x14ac:dyDescent="0.25">
      <c r="A560" s="217"/>
      <c r="B560" s="152" t="s">
        <v>126</v>
      </c>
      <c r="C560" s="192"/>
      <c r="D560" s="333" t="s">
        <v>127</v>
      </c>
      <c r="E560" s="155">
        <f t="shared" ref="E560:I560" si="281">E561</f>
        <v>0</v>
      </c>
      <c r="F560" s="155">
        <f t="shared" si="281"/>
        <v>0</v>
      </c>
      <c r="G560" s="155">
        <f t="shared" si="281"/>
        <v>0</v>
      </c>
      <c r="H560" s="155">
        <f t="shared" si="281"/>
        <v>0</v>
      </c>
      <c r="I560" s="155">
        <f t="shared" si="281"/>
        <v>0</v>
      </c>
    </row>
    <row r="561" spans="1:9" hidden="1" x14ac:dyDescent="0.25">
      <c r="A561" s="217"/>
      <c r="B561" s="152" t="s">
        <v>130</v>
      </c>
      <c r="C561" s="192"/>
      <c r="D561" s="192" t="s">
        <v>131</v>
      </c>
      <c r="E561" s="155">
        <f>E562</f>
        <v>0</v>
      </c>
      <c r="F561" s="155">
        <f>F562</f>
        <v>0</v>
      </c>
      <c r="G561" s="155">
        <f>G562</f>
        <v>0</v>
      </c>
      <c r="H561" s="155">
        <f>H562</f>
        <v>0</v>
      </c>
      <c r="I561" s="155">
        <f>I562</f>
        <v>0</v>
      </c>
    </row>
    <row r="562" spans="1:9" hidden="1" x14ac:dyDescent="0.25">
      <c r="A562" s="217"/>
      <c r="B562" s="218" t="s">
        <v>528</v>
      </c>
      <c r="C562" s="192"/>
      <c r="D562" s="217" t="s">
        <v>433</v>
      </c>
      <c r="E562" s="163">
        <f>'Rekapitulacija Posebni dio'!C695</f>
        <v>0</v>
      </c>
      <c r="F562" s="163">
        <f>'Rekapitulacija Posebni dio'!D695</f>
        <v>0</v>
      </c>
      <c r="G562" s="163">
        <f>'Rekapitulacija Posebni dio'!E695</f>
        <v>0</v>
      </c>
      <c r="H562" s="163">
        <f>'Rekapitulacija Posebni dio'!F695</f>
        <v>0</v>
      </c>
      <c r="I562" s="163">
        <f>'Rekapitulacija Posebni dio'!G695</f>
        <v>0</v>
      </c>
    </row>
    <row r="563" spans="1:9" s="130" customFormat="1" x14ac:dyDescent="0.25">
      <c r="A563" s="192"/>
      <c r="B563" s="152" t="s">
        <v>583</v>
      </c>
      <c r="C563" s="192"/>
      <c r="D563" s="192" t="s">
        <v>638</v>
      </c>
      <c r="E563" s="155">
        <f>E564</f>
        <v>0</v>
      </c>
      <c r="F563" s="155">
        <f t="shared" ref="F563:I564" si="282">F564</f>
        <v>0</v>
      </c>
      <c r="G563" s="155">
        <f t="shared" si="282"/>
        <v>1000</v>
      </c>
      <c r="H563" s="155">
        <f t="shared" si="282"/>
        <v>1020</v>
      </c>
      <c r="I563" s="155">
        <f t="shared" si="282"/>
        <v>1040.4000000000001</v>
      </c>
    </row>
    <row r="564" spans="1:9" s="130" customFormat="1" x14ac:dyDescent="0.25">
      <c r="A564" s="192"/>
      <c r="B564" s="152" t="s">
        <v>584</v>
      </c>
      <c r="C564" s="192"/>
      <c r="D564" s="192" t="s">
        <v>638</v>
      </c>
      <c r="E564" s="155">
        <f>E565</f>
        <v>0</v>
      </c>
      <c r="F564" s="155">
        <f t="shared" si="282"/>
        <v>0</v>
      </c>
      <c r="G564" s="155">
        <f t="shared" si="282"/>
        <v>1000</v>
      </c>
      <c r="H564" s="155">
        <f t="shared" si="282"/>
        <v>1020</v>
      </c>
      <c r="I564" s="155">
        <f t="shared" si="282"/>
        <v>1040.4000000000001</v>
      </c>
    </row>
    <row r="565" spans="1:9" x14ac:dyDescent="0.25">
      <c r="A565" s="217"/>
      <c r="B565" s="218" t="s">
        <v>586</v>
      </c>
      <c r="C565" s="192"/>
      <c r="D565" s="217" t="s">
        <v>588</v>
      </c>
      <c r="E565" s="163">
        <f>'Rekapitulacija Posebni dio'!C404</f>
        <v>0</v>
      </c>
      <c r="F565" s="163">
        <f>'Rekapitulacija Posebni dio'!D404</f>
        <v>0</v>
      </c>
      <c r="G565" s="163">
        <f>'Rekapitulacija Posebni dio'!E404</f>
        <v>1000</v>
      </c>
      <c r="H565" s="163">
        <f>'Rekapitulacija Posebni dio'!F404</f>
        <v>1020</v>
      </c>
      <c r="I565" s="163">
        <f>'Rekapitulacija Posebni dio'!G404</f>
        <v>1040.4000000000001</v>
      </c>
    </row>
    <row r="566" spans="1:9" hidden="1" x14ac:dyDescent="0.25">
      <c r="A566" s="275">
        <v>4</v>
      </c>
      <c r="B566" s="276"/>
      <c r="C566" s="277"/>
      <c r="D566" s="241" t="s">
        <v>174</v>
      </c>
      <c r="E566" s="202">
        <f t="shared" ref="E566" si="283">E567+E573</f>
        <v>0</v>
      </c>
      <c r="F566" s="202">
        <f t="shared" ref="F566:I566" si="284">F567+F573</f>
        <v>0</v>
      </c>
      <c r="G566" s="202">
        <f t="shared" si="284"/>
        <v>0</v>
      </c>
      <c r="H566" s="202">
        <f t="shared" si="284"/>
        <v>0</v>
      </c>
      <c r="I566" s="202">
        <f t="shared" si="284"/>
        <v>0</v>
      </c>
    </row>
    <row r="567" spans="1:9" hidden="1" x14ac:dyDescent="0.25">
      <c r="A567" s="278"/>
      <c r="B567" s="133">
        <v>42</v>
      </c>
      <c r="C567" s="203"/>
      <c r="D567" s="216" t="s">
        <v>183</v>
      </c>
      <c r="E567" s="168">
        <f t="shared" ref="E567:I567" si="285">E568</f>
        <v>0</v>
      </c>
      <c r="F567" s="168">
        <f t="shared" si="285"/>
        <v>0</v>
      </c>
      <c r="G567" s="168">
        <f t="shared" si="285"/>
        <v>0</v>
      </c>
      <c r="H567" s="168">
        <f t="shared" si="285"/>
        <v>0</v>
      </c>
      <c r="I567" s="168">
        <f t="shared" si="285"/>
        <v>0</v>
      </c>
    </row>
    <row r="568" spans="1:9" hidden="1" x14ac:dyDescent="0.25">
      <c r="A568" s="279"/>
      <c r="B568" s="152">
        <v>422</v>
      </c>
      <c r="C568" s="192"/>
      <c r="D568" s="192" t="s">
        <v>184</v>
      </c>
      <c r="E568" s="159">
        <f t="shared" ref="E568" si="286">SUM(E569:E571)</f>
        <v>0</v>
      </c>
      <c r="F568" s="159">
        <f t="shared" ref="F568:I568" si="287">SUM(F569:F571)</f>
        <v>0</v>
      </c>
      <c r="G568" s="159">
        <f t="shared" si="287"/>
        <v>0</v>
      </c>
      <c r="H568" s="159">
        <f t="shared" si="287"/>
        <v>0</v>
      </c>
      <c r="I568" s="159">
        <f t="shared" si="287"/>
        <v>0</v>
      </c>
    </row>
    <row r="569" spans="1:9" hidden="1" x14ac:dyDescent="0.25">
      <c r="A569" s="280"/>
      <c r="B569" s="152" t="s">
        <v>185</v>
      </c>
      <c r="C569" s="192"/>
      <c r="D569" s="192" t="s">
        <v>186</v>
      </c>
      <c r="E569" s="162"/>
      <c r="F569" s="162"/>
      <c r="G569" s="162"/>
      <c r="H569" s="162"/>
      <c r="I569" s="162"/>
    </row>
    <row r="570" spans="1:9" hidden="1" x14ac:dyDescent="0.25">
      <c r="A570" s="280"/>
      <c r="B570" s="152" t="s">
        <v>228</v>
      </c>
      <c r="C570" s="192"/>
      <c r="D570" s="192" t="s">
        <v>189</v>
      </c>
      <c r="E570" s="162"/>
      <c r="F570" s="162"/>
      <c r="G570" s="162"/>
      <c r="H570" s="162"/>
      <c r="I570" s="162"/>
    </row>
    <row r="571" spans="1:9" hidden="1" x14ac:dyDescent="0.25">
      <c r="A571" s="279"/>
      <c r="B571" s="152" t="s">
        <v>229</v>
      </c>
      <c r="C571" s="192"/>
      <c r="D571" s="192" t="s">
        <v>190</v>
      </c>
      <c r="E571" s="162"/>
      <c r="F571" s="162"/>
      <c r="G571" s="162"/>
      <c r="H571" s="162"/>
      <c r="I571" s="162"/>
    </row>
    <row r="572" spans="1:9" hidden="1" x14ac:dyDescent="0.25">
      <c r="A572" s="279"/>
      <c r="B572" s="218" t="s">
        <v>230</v>
      </c>
      <c r="C572" s="217"/>
      <c r="D572" s="217" t="s">
        <v>191</v>
      </c>
      <c r="E572" s="162"/>
      <c r="F572" s="162"/>
      <c r="G572" s="162"/>
      <c r="H572" s="162"/>
      <c r="I572" s="162"/>
    </row>
    <row r="573" spans="1:9" hidden="1" x14ac:dyDescent="0.25">
      <c r="A573" s="279"/>
      <c r="B573" s="152" t="s">
        <v>196</v>
      </c>
      <c r="C573" s="192"/>
      <c r="D573" s="192" t="s">
        <v>199</v>
      </c>
      <c r="E573" s="159">
        <f t="shared" ref="E573:I575" si="288">E574</f>
        <v>0</v>
      </c>
      <c r="F573" s="159">
        <f t="shared" si="288"/>
        <v>0</v>
      </c>
      <c r="G573" s="159">
        <f t="shared" si="288"/>
        <v>0</v>
      </c>
      <c r="H573" s="159">
        <f t="shared" si="288"/>
        <v>0</v>
      </c>
      <c r="I573" s="159">
        <f t="shared" si="288"/>
        <v>0</v>
      </c>
    </row>
    <row r="574" spans="1:9" hidden="1" x14ac:dyDescent="0.25">
      <c r="A574" s="279"/>
      <c r="B574" s="152" t="s">
        <v>198</v>
      </c>
      <c r="C574" s="192"/>
      <c r="D574" s="192" t="s">
        <v>207</v>
      </c>
      <c r="E574" s="159">
        <f t="shared" si="288"/>
        <v>0</v>
      </c>
      <c r="F574" s="159">
        <f t="shared" si="288"/>
        <v>0</v>
      </c>
      <c r="G574" s="159">
        <f t="shared" si="288"/>
        <v>0</v>
      </c>
      <c r="H574" s="159">
        <f t="shared" si="288"/>
        <v>0</v>
      </c>
      <c r="I574" s="159">
        <f t="shared" si="288"/>
        <v>0</v>
      </c>
    </row>
    <row r="575" spans="1:9" hidden="1" x14ac:dyDescent="0.25">
      <c r="A575" s="279"/>
      <c r="B575" s="152" t="s">
        <v>200</v>
      </c>
      <c r="C575" s="192"/>
      <c r="D575" s="192" t="s">
        <v>199</v>
      </c>
      <c r="E575" s="159">
        <f t="shared" si="288"/>
        <v>0</v>
      </c>
      <c r="F575" s="159">
        <f t="shared" si="288"/>
        <v>0</v>
      </c>
      <c r="G575" s="159">
        <f t="shared" si="288"/>
        <v>0</v>
      </c>
      <c r="H575" s="159">
        <f t="shared" si="288"/>
        <v>0</v>
      </c>
      <c r="I575" s="159">
        <f t="shared" si="288"/>
        <v>0</v>
      </c>
    </row>
    <row r="576" spans="1:9" hidden="1" x14ac:dyDescent="0.25">
      <c r="A576" s="279"/>
      <c r="B576" s="218" t="s">
        <v>513</v>
      </c>
      <c r="C576" s="217"/>
      <c r="D576" s="217" t="s">
        <v>199</v>
      </c>
      <c r="E576" s="162">
        <f>'Rekapitulacija Posebni dio'!C716</f>
        <v>0</v>
      </c>
      <c r="F576" s="162">
        <f>'Rekapitulacija Posebni dio'!D716</f>
        <v>0</v>
      </c>
      <c r="G576" s="162">
        <f>'Rekapitulacija Posebni dio'!E716</f>
        <v>0</v>
      </c>
      <c r="H576" s="162">
        <f>'Rekapitulacija Posebni dio'!F716</f>
        <v>0</v>
      </c>
      <c r="I576" s="162">
        <f>'Rekapitulacija Posebni dio'!G716</f>
        <v>0</v>
      </c>
    </row>
    <row r="577" spans="1:9" x14ac:dyDescent="0.25">
      <c r="A577" s="281"/>
      <c r="B577" s="282"/>
      <c r="C577" s="262" t="s">
        <v>72</v>
      </c>
      <c r="D577" s="263" t="s">
        <v>73</v>
      </c>
      <c r="E577" s="149">
        <f>E566+E549</f>
        <v>0</v>
      </c>
      <c r="F577" s="149">
        <f>F566+F549</f>
        <v>0</v>
      </c>
      <c r="G577" s="149">
        <f>G566+G549</f>
        <v>2000</v>
      </c>
      <c r="H577" s="149">
        <f>H566+H549</f>
        <v>2220</v>
      </c>
      <c r="I577" s="149">
        <f>I566+I549</f>
        <v>2440.4</v>
      </c>
    </row>
    <row r="578" spans="1:9" x14ac:dyDescent="0.25">
      <c r="A578" s="526"/>
      <c r="B578" s="527"/>
      <c r="C578" s="523" t="s">
        <v>709</v>
      </c>
      <c r="D578" s="524" t="s">
        <v>710</v>
      </c>
      <c r="E578" s="149"/>
      <c r="F578" s="149"/>
      <c r="G578" s="149">
        <f>G577</f>
        <v>2000</v>
      </c>
      <c r="H578" s="149">
        <f t="shared" ref="H578:I578" si="289">H577</f>
        <v>2220</v>
      </c>
      <c r="I578" s="149">
        <f t="shared" si="289"/>
        <v>2440.4</v>
      </c>
    </row>
    <row r="579" spans="1:9" x14ac:dyDescent="0.25">
      <c r="A579" s="212" t="s">
        <v>86</v>
      </c>
      <c r="B579" s="212"/>
      <c r="C579" s="213"/>
      <c r="D579" s="214" t="s">
        <v>87</v>
      </c>
      <c r="E579" s="202">
        <f t="shared" ref="E579" si="290">SUM(E584,E581,E588)</f>
        <v>0</v>
      </c>
      <c r="F579" s="202">
        <f t="shared" ref="F579" si="291">SUM(F584,F581,F588)</f>
        <v>0</v>
      </c>
      <c r="G579" s="202">
        <f>SUM(G580)</f>
        <v>11800</v>
      </c>
      <c r="H579" s="202">
        <f t="shared" ref="H579:I579" si="292">SUM(H580)</f>
        <v>11750</v>
      </c>
      <c r="I579" s="202">
        <f t="shared" si="292"/>
        <v>12000</v>
      </c>
    </row>
    <row r="580" spans="1:9" x14ac:dyDescent="0.25">
      <c r="A580" s="283"/>
      <c r="B580" s="133">
        <v>32</v>
      </c>
      <c r="C580" s="203"/>
      <c r="D580" s="216" t="s">
        <v>102</v>
      </c>
      <c r="E580" s="168"/>
      <c r="F580" s="168"/>
      <c r="G580" s="168">
        <f>G581+G584+G588</f>
        <v>11800</v>
      </c>
      <c r="H580" s="168">
        <f t="shared" ref="H580:I580" si="293">H581+H584+H588</f>
        <v>11750</v>
      </c>
      <c r="I580" s="168">
        <f t="shared" si="293"/>
        <v>12000</v>
      </c>
    </row>
    <row r="581" spans="1:9" s="130" customFormat="1" hidden="1" x14ac:dyDescent="0.25">
      <c r="A581" s="283"/>
      <c r="B581" s="284" t="s">
        <v>112</v>
      </c>
      <c r="C581" s="285"/>
      <c r="D581" s="286" t="s">
        <v>113</v>
      </c>
      <c r="E581" s="155">
        <f t="shared" ref="E581:I581" si="294">E582</f>
        <v>0</v>
      </c>
      <c r="F581" s="155">
        <f t="shared" si="294"/>
        <v>0</v>
      </c>
      <c r="G581" s="155">
        <f t="shared" si="294"/>
        <v>0</v>
      </c>
      <c r="H581" s="155">
        <f t="shared" si="294"/>
        <v>0</v>
      </c>
      <c r="I581" s="155">
        <f t="shared" si="294"/>
        <v>0</v>
      </c>
    </row>
    <row r="582" spans="1:9" hidden="1" x14ac:dyDescent="0.25">
      <c r="A582" s="287"/>
      <c r="B582" s="284" t="s">
        <v>116</v>
      </c>
      <c r="C582" s="285"/>
      <c r="D582" s="286" t="s">
        <v>117</v>
      </c>
      <c r="E582" s="163"/>
      <c r="F582" s="163"/>
      <c r="G582" s="163"/>
      <c r="H582" s="163"/>
      <c r="I582" s="163"/>
    </row>
    <row r="583" spans="1:9" hidden="1" x14ac:dyDescent="0.25">
      <c r="A583" s="287"/>
      <c r="B583" s="284" t="s">
        <v>120</v>
      </c>
      <c r="C583" s="285"/>
      <c r="D583" s="286" t="s">
        <v>121</v>
      </c>
      <c r="E583" s="163"/>
      <c r="F583" s="163"/>
      <c r="G583" s="163"/>
      <c r="H583" s="163"/>
      <c r="I583" s="163"/>
    </row>
    <row r="584" spans="1:9" x14ac:dyDescent="0.25">
      <c r="A584" s="281"/>
      <c r="B584" s="137" t="s">
        <v>126</v>
      </c>
      <c r="C584" s="343"/>
      <c r="D584" s="236" t="s">
        <v>127</v>
      </c>
      <c r="E584" s="155">
        <f>E585+E586</f>
        <v>0</v>
      </c>
      <c r="F584" s="155">
        <f t="shared" ref="F584:I584" si="295">F585+F586</f>
        <v>0</v>
      </c>
      <c r="G584" s="155">
        <f t="shared" si="295"/>
        <v>1300</v>
      </c>
      <c r="H584" s="155">
        <f t="shared" si="295"/>
        <v>1500</v>
      </c>
      <c r="I584" s="155">
        <f t="shared" si="295"/>
        <v>1500</v>
      </c>
    </row>
    <row r="585" spans="1:9" hidden="1" x14ac:dyDescent="0.25">
      <c r="A585" s="281"/>
      <c r="B585" s="137" t="s">
        <v>130</v>
      </c>
      <c r="C585" s="343"/>
      <c r="D585" s="236" t="s">
        <v>131</v>
      </c>
      <c r="E585" s="163"/>
      <c r="F585" s="163"/>
      <c r="G585" s="163"/>
      <c r="H585" s="163"/>
      <c r="I585" s="163"/>
    </row>
    <row r="586" spans="1:9" x14ac:dyDescent="0.25">
      <c r="A586" s="281"/>
      <c r="B586" s="137" t="s">
        <v>134</v>
      </c>
      <c r="C586" s="343"/>
      <c r="D586" s="236" t="s">
        <v>135</v>
      </c>
      <c r="E586" s="155">
        <f>E587</f>
        <v>0</v>
      </c>
      <c r="F586" s="155">
        <f t="shared" ref="F586:I586" si="296">F587</f>
        <v>0</v>
      </c>
      <c r="G586" s="155">
        <f t="shared" si="296"/>
        <v>1300</v>
      </c>
      <c r="H586" s="155">
        <f t="shared" si="296"/>
        <v>1500</v>
      </c>
      <c r="I586" s="155">
        <f t="shared" si="296"/>
        <v>1500</v>
      </c>
    </row>
    <row r="587" spans="1:9" x14ac:dyDescent="0.25">
      <c r="A587" s="280"/>
      <c r="B587" s="141" t="s">
        <v>607</v>
      </c>
      <c r="C587" s="218"/>
      <c r="D587" s="237" t="s">
        <v>610</v>
      </c>
      <c r="E587" s="163">
        <f>'Rekapitulacija Posebni dio'!C420</f>
        <v>0</v>
      </c>
      <c r="F587" s="163">
        <f>'Rekapitulacija Posebni dio'!D420</f>
        <v>0</v>
      </c>
      <c r="G587" s="163">
        <f>'Rekapitulacija Posebni dio'!E420</f>
        <v>1300</v>
      </c>
      <c r="H587" s="163">
        <f>'Rekapitulacija Posebni dio'!F420</f>
        <v>1500</v>
      </c>
      <c r="I587" s="163">
        <f>'Rekapitulacija Posebni dio'!G420</f>
        <v>1500</v>
      </c>
    </row>
    <row r="588" spans="1:9" s="130" customFormat="1" x14ac:dyDescent="0.25">
      <c r="A588" s="281"/>
      <c r="B588" s="137" t="s">
        <v>219</v>
      </c>
      <c r="C588" s="343"/>
      <c r="D588" s="236" t="s">
        <v>220</v>
      </c>
      <c r="E588" s="155">
        <f t="shared" ref="E588:I589" si="297">E589</f>
        <v>0</v>
      </c>
      <c r="F588" s="155">
        <f t="shared" si="297"/>
        <v>0</v>
      </c>
      <c r="G588" s="155">
        <f t="shared" si="297"/>
        <v>10500</v>
      </c>
      <c r="H588" s="155">
        <f t="shared" si="297"/>
        <v>10250</v>
      </c>
      <c r="I588" s="155">
        <f t="shared" si="297"/>
        <v>10500</v>
      </c>
    </row>
    <row r="589" spans="1:9" x14ac:dyDescent="0.25">
      <c r="A589" s="281"/>
      <c r="B589" s="137" t="s">
        <v>231</v>
      </c>
      <c r="C589" s="343"/>
      <c r="D589" s="236" t="s">
        <v>147</v>
      </c>
      <c r="E589" s="155">
        <f>E590</f>
        <v>0</v>
      </c>
      <c r="F589" s="155">
        <f t="shared" si="297"/>
        <v>0</v>
      </c>
      <c r="G589" s="155">
        <f t="shared" si="297"/>
        <v>10500</v>
      </c>
      <c r="H589" s="155">
        <f t="shared" si="297"/>
        <v>10250</v>
      </c>
      <c r="I589" s="155">
        <f t="shared" si="297"/>
        <v>10500</v>
      </c>
    </row>
    <row r="590" spans="1:9" x14ac:dyDescent="0.25">
      <c r="A590" s="490"/>
      <c r="B590" s="141" t="s">
        <v>520</v>
      </c>
      <c r="C590" s="491"/>
      <c r="D590" s="237" t="s">
        <v>521</v>
      </c>
      <c r="E590" s="163">
        <f>'Rekapitulacija Posebni dio'!C423</f>
        <v>0</v>
      </c>
      <c r="F590" s="163">
        <f>'Rekapitulacija Posebni dio'!D423</f>
        <v>0</v>
      </c>
      <c r="G590" s="163">
        <f>'Rekapitulacija Posebni dio'!E423</f>
        <v>10500</v>
      </c>
      <c r="H590" s="163">
        <f>'Rekapitulacija Posebni dio'!F423</f>
        <v>10250</v>
      </c>
      <c r="I590" s="163">
        <f>'Rekapitulacija Posebni dio'!G423</f>
        <v>10500</v>
      </c>
    </row>
    <row r="591" spans="1:9" s="323" customFormat="1" hidden="1" x14ac:dyDescent="0.25">
      <c r="A591" s="344">
        <v>4</v>
      </c>
      <c r="B591" s="345"/>
      <c r="C591" s="345"/>
      <c r="D591" s="241" t="s">
        <v>174</v>
      </c>
      <c r="E591" s="274">
        <f t="shared" ref="E591:I591" si="298">E592</f>
        <v>0</v>
      </c>
      <c r="F591" s="274">
        <f t="shared" si="298"/>
        <v>0</v>
      </c>
      <c r="G591" s="274">
        <f t="shared" si="298"/>
        <v>0</v>
      </c>
      <c r="H591" s="274">
        <f t="shared" si="298"/>
        <v>0</v>
      </c>
      <c r="I591" s="274">
        <f t="shared" si="298"/>
        <v>0</v>
      </c>
    </row>
    <row r="592" spans="1:9" hidden="1" x14ac:dyDescent="0.25">
      <c r="A592" s="192"/>
      <c r="B592" s="133">
        <v>42</v>
      </c>
      <c r="C592" s="203"/>
      <c r="D592" s="216" t="s">
        <v>183</v>
      </c>
      <c r="E592" s="136">
        <f t="shared" ref="E592" si="299">SUM(E595,E593)</f>
        <v>0</v>
      </c>
      <c r="F592" s="136">
        <f t="shared" ref="F592:I592" si="300">SUM(F595,F593)</f>
        <v>0</v>
      </c>
      <c r="G592" s="136">
        <f t="shared" si="300"/>
        <v>0</v>
      </c>
      <c r="H592" s="136">
        <f t="shared" si="300"/>
        <v>0</v>
      </c>
      <c r="I592" s="136">
        <f t="shared" si="300"/>
        <v>0</v>
      </c>
    </row>
    <row r="593" spans="1:9" hidden="1" x14ac:dyDescent="0.25">
      <c r="A593" s="192"/>
      <c r="B593" s="152" t="s">
        <v>206</v>
      </c>
      <c r="C593" s="192"/>
      <c r="D593" s="236" t="s">
        <v>207</v>
      </c>
      <c r="E593" s="155">
        <f t="shared" ref="E593:I593" si="301">E594</f>
        <v>0</v>
      </c>
      <c r="F593" s="155">
        <f t="shared" si="301"/>
        <v>0</v>
      </c>
      <c r="G593" s="155">
        <f t="shared" si="301"/>
        <v>0</v>
      </c>
      <c r="H593" s="155">
        <f t="shared" si="301"/>
        <v>0</v>
      </c>
      <c r="I593" s="155">
        <f t="shared" si="301"/>
        <v>0</v>
      </c>
    </row>
    <row r="594" spans="1:9" hidden="1" x14ac:dyDescent="0.25">
      <c r="A594" s="217"/>
      <c r="B594" s="152" t="s">
        <v>208</v>
      </c>
      <c r="C594" s="192"/>
      <c r="D594" s="236" t="s">
        <v>209</v>
      </c>
      <c r="E594" s="163"/>
      <c r="F594" s="163"/>
      <c r="G594" s="163"/>
      <c r="H594" s="163"/>
      <c r="I594" s="163"/>
    </row>
    <row r="595" spans="1:9" hidden="1" x14ac:dyDescent="0.25">
      <c r="A595" s="300"/>
      <c r="B595" s="152">
        <v>422</v>
      </c>
      <c r="C595" s="192"/>
      <c r="D595" s="192" t="s">
        <v>184</v>
      </c>
      <c r="E595" s="159">
        <f t="shared" ref="E595:I596" si="302">SUM(E596)</f>
        <v>0</v>
      </c>
      <c r="F595" s="159">
        <f t="shared" si="302"/>
        <v>0</v>
      </c>
      <c r="G595" s="159">
        <f t="shared" si="302"/>
        <v>0</v>
      </c>
      <c r="H595" s="159">
        <f t="shared" si="302"/>
        <v>0</v>
      </c>
      <c r="I595" s="159">
        <f t="shared" si="302"/>
        <v>0</v>
      </c>
    </row>
    <row r="596" spans="1:9" hidden="1" x14ac:dyDescent="0.25">
      <c r="A596" s="300"/>
      <c r="B596" s="152" t="s">
        <v>229</v>
      </c>
      <c r="C596" s="192"/>
      <c r="D596" s="192" t="s">
        <v>190</v>
      </c>
      <c r="E596" s="159">
        <f t="shared" si="302"/>
        <v>0</v>
      </c>
      <c r="F596" s="159">
        <f t="shared" si="302"/>
        <v>0</v>
      </c>
      <c r="G596" s="159">
        <f t="shared" si="302"/>
        <v>0</v>
      </c>
      <c r="H596" s="159">
        <f t="shared" si="302"/>
        <v>0</v>
      </c>
      <c r="I596" s="159">
        <f t="shared" si="302"/>
        <v>0</v>
      </c>
    </row>
    <row r="597" spans="1:9" hidden="1" x14ac:dyDescent="0.25">
      <c r="A597" s="301"/>
      <c r="B597" s="218" t="s">
        <v>522</v>
      </c>
      <c r="C597" s="217"/>
      <c r="D597" s="331" t="s">
        <v>469</v>
      </c>
      <c r="E597" s="162">
        <f>'Rekapitulacija Posebni dio'!C432</f>
        <v>0</v>
      </c>
      <c r="F597" s="162">
        <f>'Rekapitulacija Posebni dio'!D432</f>
        <v>0</v>
      </c>
      <c r="G597" s="162">
        <f>'Rekapitulacija Posebni dio'!E432</f>
        <v>0</v>
      </c>
      <c r="H597" s="162">
        <f>'Rekapitulacija Posebni dio'!F432</f>
        <v>0</v>
      </c>
      <c r="I597" s="162">
        <f>'Rekapitulacija Posebni dio'!G432</f>
        <v>0</v>
      </c>
    </row>
    <row r="598" spans="1:9" s="130" customFormat="1" hidden="1" x14ac:dyDescent="0.25">
      <c r="A598" s="346"/>
      <c r="B598" s="303" t="s">
        <v>232</v>
      </c>
      <c r="C598" s="205"/>
      <c r="D598" s="205" t="s">
        <v>194</v>
      </c>
      <c r="E598" s="304">
        <f t="shared" ref="E598:I598" si="303">E599</f>
        <v>0</v>
      </c>
      <c r="F598" s="304">
        <f t="shared" si="303"/>
        <v>0</v>
      </c>
      <c r="G598" s="304">
        <f t="shared" si="303"/>
        <v>0</v>
      </c>
      <c r="H598" s="304">
        <f t="shared" si="303"/>
        <v>0</v>
      </c>
      <c r="I598" s="304">
        <f t="shared" si="303"/>
        <v>0</v>
      </c>
    </row>
    <row r="599" spans="1:9" hidden="1" x14ac:dyDescent="0.25">
      <c r="A599" s="302"/>
      <c r="B599" s="303" t="s">
        <v>233</v>
      </c>
      <c r="C599" s="205"/>
      <c r="D599" s="205" t="s">
        <v>195</v>
      </c>
      <c r="E599" s="307"/>
      <c r="F599" s="307"/>
      <c r="G599" s="307"/>
      <c r="H599" s="307"/>
      <c r="I599" s="307"/>
    </row>
    <row r="600" spans="1:9" ht="31.5" x14ac:dyDescent="0.25">
      <c r="A600" s="531"/>
      <c r="B600" s="309"/>
      <c r="C600" s="310" t="s">
        <v>234</v>
      </c>
      <c r="D600" s="311" t="s">
        <v>713</v>
      </c>
      <c r="E600" s="208">
        <f t="shared" ref="E600" si="304">SUM(E592,E579)</f>
        <v>0</v>
      </c>
      <c r="F600" s="208">
        <f t="shared" ref="F600:I600" si="305">SUM(F592,F579)</f>
        <v>0</v>
      </c>
      <c r="G600" s="208">
        <f t="shared" si="305"/>
        <v>11800</v>
      </c>
      <c r="H600" s="208">
        <f t="shared" si="305"/>
        <v>11750</v>
      </c>
      <c r="I600" s="208">
        <f t="shared" si="305"/>
        <v>12000</v>
      </c>
    </row>
    <row r="601" spans="1:9" ht="32.25" thickBot="1" x14ac:dyDescent="0.3">
      <c r="A601" s="531"/>
      <c r="B601" s="309"/>
      <c r="C601" s="310" t="s">
        <v>712</v>
      </c>
      <c r="D601" s="311" t="s">
        <v>714</v>
      </c>
      <c r="E601" s="208"/>
      <c r="F601" s="208"/>
      <c r="G601" s="208">
        <f>G600</f>
        <v>11800</v>
      </c>
      <c r="H601" s="208">
        <f t="shared" ref="H601:I601" si="306">H600</f>
        <v>11750</v>
      </c>
      <c r="I601" s="208">
        <f t="shared" si="306"/>
        <v>12000</v>
      </c>
    </row>
    <row r="602" spans="1:9" ht="16.5" thickBot="1" x14ac:dyDescent="0.3">
      <c r="A602" s="589" t="s">
        <v>236</v>
      </c>
      <c r="B602" s="584"/>
      <c r="C602" s="584"/>
      <c r="D602" s="585"/>
      <c r="E602" s="119" t="e">
        <f>E11+E69+E241+E414+E104+E218+E450+E485+E549+E566+E579+E591</f>
        <v>#REF!</v>
      </c>
      <c r="F602" s="119" t="e">
        <f>F11+F69+F241+F414+F104+F218+F450+F485+F549+F566+F579+F591</f>
        <v>#REF!</v>
      </c>
      <c r="G602" s="119">
        <f>G11+G69+G241+G414+G104+G218+G450+G485+G492+G513+G549+G566+G579+G591</f>
        <v>27155403.229999997</v>
      </c>
      <c r="H602" s="119">
        <f t="shared" ref="H602:I602" si="307">H11+H69+H241+H414+H104+H218+H450+H485+H492+H513+H549+H566+H579+H591</f>
        <v>27423628.589999996</v>
      </c>
      <c r="I602" s="119">
        <f t="shared" si="307"/>
        <v>27667151.609999996</v>
      </c>
    </row>
  </sheetData>
  <mergeCells count="6">
    <mergeCell ref="A602:D602"/>
    <mergeCell ref="A1:I1"/>
    <mergeCell ref="A2:I2"/>
    <mergeCell ref="A3:I3"/>
    <mergeCell ref="A5:I5"/>
    <mergeCell ref="A7:D7"/>
  </mergeCells>
  <pageMargins left="0.74803149606299213" right="0.74803149606299213" top="0.98425196850393704" bottom="0.98425196850393704" header="0.51181102362204722" footer="0.51181102362204722"/>
  <pageSetup paperSize="9" scale="61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41"/>
  <sheetViews>
    <sheetView topLeftCell="A41" workbookViewId="0">
      <selection activeCell="O22" sqref="O22"/>
    </sheetView>
  </sheetViews>
  <sheetFormatPr defaultColWidth="9.140625" defaultRowHeight="15.75" x14ac:dyDescent="0.25"/>
  <cols>
    <col min="1" max="1" width="37.28515625" style="6" customWidth="1"/>
    <col min="2" max="2" width="13.140625" style="6" hidden="1" customWidth="1"/>
    <col min="3" max="3" width="19.42578125" style="6" hidden="1" customWidth="1"/>
    <col min="4" max="6" width="20" style="6" customWidth="1"/>
    <col min="7" max="16384" width="9.140625" style="6"/>
  </cols>
  <sheetData>
    <row r="1" spans="1:6" ht="15.75" customHeight="1" x14ac:dyDescent="0.25">
      <c r="A1" s="591" t="s">
        <v>383</v>
      </c>
      <c r="B1" s="591"/>
      <c r="C1" s="591"/>
      <c r="D1" s="591"/>
      <c r="E1" s="591"/>
      <c r="F1" s="591"/>
    </row>
    <row r="3" spans="1:6" ht="33.75" customHeight="1" x14ac:dyDescent="0.25">
      <c r="A3" s="513" t="s">
        <v>265</v>
      </c>
      <c r="B3" s="120" t="s">
        <v>556</v>
      </c>
      <c r="C3" s="120" t="s">
        <v>560</v>
      </c>
      <c r="D3" s="320" t="s">
        <v>558</v>
      </c>
      <c r="E3" s="113" t="s">
        <v>559</v>
      </c>
      <c r="F3" s="114" t="s">
        <v>557</v>
      </c>
    </row>
    <row r="4" spans="1:6" x14ac:dyDescent="0.25">
      <c r="A4" s="512" t="s">
        <v>384</v>
      </c>
      <c r="B4" s="348" t="e">
        <f>B5+B7+B9+B14+B20+B22</f>
        <v>#REF!</v>
      </c>
      <c r="C4" s="348" t="e">
        <f>C5+C7+C9+C14+C20+C22</f>
        <v>#REF!</v>
      </c>
      <c r="D4" s="348">
        <f>D5+D7+D9+D14+D20+D22</f>
        <v>27400996.079999998</v>
      </c>
      <c r="E4" s="348">
        <f>E5+E7+E9+E14+E20+E22</f>
        <v>28076192.190000001</v>
      </c>
      <c r="F4" s="348">
        <f>F5+F7+F9+F14+F20+F22</f>
        <v>28547127.919999998</v>
      </c>
    </row>
    <row r="5" spans="1:6" x14ac:dyDescent="0.25">
      <c r="A5" s="349" t="s">
        <v>385</v>
      </c>
      <c r="B5" s="350" t="e">
        <f t="shared" ref="B5:C5" si="0">B6</f>
        <v>#REF!</v>
      </c>
      <c r="C5" s="350" t="e">
        <f t="shared" si="0"/>
        <v>#REF!</v>
      </c>
      <c r="D5" s="350">
        <f>D6</f>
        <v>1250606.02</v>
      </c>
      <c r="E5" s="350">
        <f t="shared" ref="E5:F5" si="1">E6</f>
        <v>1250606.02</v>
      </c>
      <c r="F5" s="350">
        <f t="shared" si="1"/>
        <v>1250606.02</v>
      </c>
    </row>
    <row r="6" spans="1:6" x14ac:dyDescent="0.25">
      <c r="A6" s="351" t="s">
        <v>386</v>
      </c>
      <c r="B6" s="352" t="e">
        <f>'Prihodi po ek klas i izvorima'!E15</f>
        <v>#REF!</v>
      </c>
      <c r="C6" s="352" t="e">
        <f>'Prihodi po ek klas i izvorima'!F15</f>
        <v>#REF!</v>
      </c>
      <c r="D6" s="352">
        <f>'Prihodi po ek klas i izvorima'!G15</f>
        <v>1250606.02</v>
      </c>
      <c r="E6" s="352">
        <f>'Prihodi po ek klas i izvorima'!H15</f>
        <v>1250606.02</v>
      </c>
      <c r="F6" s="352">
        <f>'Prihodi po ek klas i izvorima'!I15</f>
        <v>1250606.02</v>
      </c>
    </row>
    <row r="7" spans="1:6" x14ac:dyDescent="0.25">
      <c r="A7" s="349" t="s">
        <v>692</v>
      </c>
      <c r="B7" s="350">
        <f t="shared" ref="B7:C7" si="2">B8</f>
        <v>0</v>
      </c>
      <c r="C7" s="350">
        <f t="shared" si="2"/>
        <v>0</v>
      </c>
      <c r="D7" s="350">
        <f>D8</f>
        <v>3805116.33</v>
      </c>
      <c r="E7" s="350">
        <f t="shared" ref="E7:F7" si="3">E8</f>
        <v>3851740.33</v>
      </c>
      <c r="F7" s="350">
        <f t="shared" si="3"/>
        <v>3883588.81</v>
      </c>
    </row>
    <row r="8" spans="1:6" x14ac:dyDescent="0.25">
      <c r="A8" s="351" t="s">
        <v>387</v>
      </c>
      <c r="B8" s="352">
        <f>'Prihodi po ek klas i izvorima'!E43</f>
        <v>0</v>
      </c>
      <c r="C8" s="352">
        <f>'Prihodi po ek klas i izvorima'!F43</f>
        <v>0</v>
      </c>
      <c r="D8" s="352">
        <f>'Prihodi po ek klas i izvorima'!G43</f>
        <v>3805116.33</v>
      </c>
      <c r="E8" s="352">
        <f>'Prihodi po ek klas i izvorima'!H43</f>
        <v>3851740.33</v>
      </c>
      <c r="F8" s="352">
        <f>'Prihodi po ek klas i izvorima'!I43</f>
        <v>3883588.81</v>
      </c>
    </row>
    <row r="9" spans="1:6" x14ac:dyDescent="0.25">
      <c r="A9" s="353" t="s">
        <v>693</v>
      </c>
      <c r="B9" s="350">
        <f>SUM(B10:B13)</f>
        <v>0</v>
      </c>
      <c r="C9" s="350">
        <f t="shared" ref="C9:F9" si="4">SUM(C10:C13)</f>
        <v>0</v>
      </c>
      <c r="D9" s="350">
        <f t="shared" si="4"/>
        <v>21155049.899999999</v>
      </c>
      <c r="E9" s="350">
        <f t="shared" si="4"/>
        <v>21912926.350000001</v>
      </c>
      <c r="F9" s="350">
        <f t="shared" si="4"/>
        <v>22405180.199999999</v>
      </c>
    </row>
    <row r="10" spans="1:6" x14ac:dyDescent="0.25">
      <c r="A10" s="354" t="s">
        <v>670</v>
      </c>
      <c r="B10" s="352">
        <f>'Prihodi po ek klas i izvorima'!E45</f>
        <v>0</v>
      </c>
      <c r="C10" s="352">
        <f>'Prihodi po ek klas i izvorima'!F45</f>
        <v>0</v>
      </c>
      <c r="D10" s="352">
        <f>'Prihodi po ek klas i izvorima'!G45</f>
        <v>100000</v>
      </c>
      <c r="E10" s="352">
        <f>'Prihodi po ek klas i izvorima'!H45</f>
        <v>102000</v>
      </c>
      <c r="F10" s="352">
        <f>'Prihodi po ek klas i izvorima'!I45</f>
        <v>104040</v>
      </c>
    </row>
    <row r="11" spans="1:6" x14ac:dyDescent="0.25">
      <c r="A11" s="354" t="s">
        <v>388</v>
      </c>
      <c r="B11" s="352">
        <f>'Prihodi po ek klas i izvorima'!E61</f>
        <v>0</v>
      </c>
      <c r="C11" s="352">
        <f>'Prihodi po ek klas i izvorima'!F61</f>
        <v>0</v>
      </c>
      <c r="D11" s="352">
        <f>'Prihodi po ek klas i izvorima'!G61</f>
        <v>20119749.899999999</v>
      </c>
      <c r="E11" s="352">
        <f>'Prihodi po ek klas i izvorima'!H61</f>
        <v>20847031.350000001</v>
      </c>
      <c r="F11" s="352">
        <f>'Prihodi po ek klas i izvorima'!I61</f>
        <v>21326580.800000001</v>
      </c>
    </row>
    <row r="12" spans="1:6" ht="31.5" x14ac:dyDescent="0.25">
      <c r="A12" s="355" t="s">
        <v>389</v>
      </c>
      <c r="B12" s="352">
        <f>'Prihodi po ek klas i izvorima'!E49</f>
        <v>0</v>
      </c>
      <c r="C12" s="352">
        <f>'Prihodi po ek klas i izvorima'!F49</f>
        <v>0</v>
      </c>
      <c r="D12" s="352">
        <f>'Prihodi po ek klas i izvorima'!G49</f>
        <v>932300</v>
      </c>
      <c r="E12" s="352">
        <f>'Prihodi po ek klas i izvorima'!H49</f>
        <v>960895</v>
      </c>
      <c r="F12" s="352">
        <f>'Prihodi po ek klas i izvorima'!I49</f>
        <v>971559.4</v>
      </c>
    </row>
    <row r="13" spans="1:6" x14ac:dyDescent="0.25">
      <c r="A13" s="354" t="s">
        <v>390</v>
      </c>
      <c r="B13" s="352">
        <f>'Prihodi po ek klas i izvorima'!E65</f>
        <v>0</v>
      </c>
      <c r="C13" s="352">
        <f>'Prihodi po ek klas i izvorima'!F65</f>
        <v>0</v>
      </c>
      <c r="D13" s="352">
        <f>'Prihodi po ek klas i izvorima'!G65</f>
        <v>3000</v>
      </c>
      <c r="E13" s="352">
        <f>'Prihodi po ek klas i izvorima'!H65</f>
        <v>3000</v>
      </c>
      <c r="F13" s="352">
        <f>'Prihodi po ek klas i izvorima'!I65</f>
        <v>3000</v>
      </c>
    </row>
    <row r="14" spans="1:6" x14ac:dyDescent="0.25">
      <c r="A14" s="356" t="s">
        <v>694</v>
      </c>
      <c r="B14" s="350" t="e">
        <f t="shared" ref="B14:C14" si="5">B15</f>
        <v>#REF!</v>
      </c>
      <c r="C14" s="350" t="e">
        <f t="shared" si="5"/>
        <v>#REF!</v>
      </c>
      <c r="D14" s="350">
        <f>D15+D16+D18</f>
        <v>1176423.83</v>
      </c>
      <c r="E14" s="350">
        <f t="shared" ref="E14:F14" si="6">E15+E16+E18</f>
        <v>1047924.49</v>
      </c>
      <c r="F14" s="350">
        <f t="shared" si="6"/>
        <v>994248.49</v>
      </c>
    </row>
    <row r="15" spans="1:6" x14ac:dyDescent="0.25">
      <c r="A15" s="356" t="s">
        <v>391</v>
      </c>
      <c r="B15" s="350" t="e">
        <f>'Prihodi po ek klas i izvorima'!E84</f>
        <v>#REF!</v>
      </c>
      <c r="C15" s="350" t="e">
        <f>'Prihodi po ek klas i izvorima'!F84</f>
        <v>#REF!</v>
      </c>
      <c r="D15" s="350">
        <f>'Prihodi po ek klas i izvorima'!G69+'Prihodi po ek klas i izvorima'!G73+'Prihodi po ek klas i izvorima'!G76+'Prihodi po ek klas i izvorima'!G81</f>
        <v>582814.61</v>
      </c>
      <c r="E15" s="350">
        <f>'Prihodi po ek klas i izvorima'!H69+'Prihodi po ek klas i izvorima'!H73+'Prihodi po ek klas i izvorima'!H76+'Prihodi po ek klas i izvorima'!H81</f>
        <v>568814.61</v>
      </c>
      <c r="F15" s="350">
        <f>'Prihodi po ek klas i izvorima'!I69+'Prihodi po ek klas i izvorima'!I73+'Prihodi po ek klas i izvorima'!I76+'Prihodi po ek klas i izvorima'!I81</f>
        <v>568814.61</v>
      </c>
    </row>
    <row r="16" spans="1:6" s="42" customFormat="1" x14ac:dyDescent="0.25">
      <c r="A16" s="356" t="s">
        <v>696</v>
      </c>
      <c r="B16" s="350"/>
      <c r="C16" s="350"/>
      <c r="D16" s="350">
        <f>D17</f>
        <v>156200</v>
      </c>
      <c r="E16" s="350">
        <f t="shared" ref="E16:F16" si="7">E17</f>
        <v>159324</v>
      </c>
      <c r="F16" s="350">
        <f t="shared" si="7"/>
        <v>162510.48000000001</v>
      </c>
    </row>
    <row r="17" spans="1:6" x14ac:dyDescent="0.25">
      <c r="A17" s="354" t="s">
        <v>697</v>
      </c>
      <c r="B17" s="352"/>
      <c r="C17" s="352"/>
      <c r="D17" s="352">
        <f>'Prihodi po ek klas i izvorima'!G89</f>
        <v>156200</v>
      </c>
      <c r="E17" s="352">
        <f>'Prihodi po ek klas i izvorima'!H89</f>
        <v>159324</v>
      </c>
      <c r="F17" s="352">
        <f>'Prihodi po ek klas i izvorima'!I89</f>
        <v>162510.48000000001</v>
      </c>
    </row>
    <row r="18" spans="1:6" s="42" customFormat="1" x14ac:dyDescent="0.25">
      <c r="A18" s="356" t="s">
        <v>698</v>
      </c>
      <c r="B18" s="350"/>
      <c r="C18" s="350"/>
      <c r="D18" s="350">
        <f>D19</f>
        <v>437409.22</v>
      </c>
      <c r="E18" s="350">
        <f t="shared" ref="E18:F18" si="8">E19</f>
        <v>319785.88</v>
      </c>
      <c r="F18" s="350">
        <f t="shared" si="8"/>
        <v>262923.40000000002</v>
      </c>
    </row>
    <row r="19" spans="1:6" ht="31.5" x14ac:dyDescent="0.25">
      <c r="A19" s="355" t="s">
        <v>699</v>
      </c>
      <c r="B19" s="352"/>
      <c r="C19" s="352"/>
      <c r="D19" s="352">
        <f>'Prihodi po ek klas i izvorima'!G95</f>
        <v>437409.22</v>
      </c>
      <c r="E19" s="352">
        <f>'Prihodi po ek klas i izvorima'!H95</f>
        <v>319785.88</v>
      </c>
      <c r="F19" s="352">
        <f>'Prihodi po ek klas i izvorima'!I95</f>
        <v>262923.40000000002</v>
      </c>
    </row>
    <row r="20" spans="1:6" x14ac:dyDescent="0.25">
      <c r="A20" s="356" t="s">
        <v>695</v>
      </c>
      <c r="B20" s="350">
        <f t="shared" ref="B20:C20" si="9">B21</f>
        <v>0</v>
      </c>
      <c r="C20" s="350">
        <f t="shared" si="9"/>
        <v>0</v>
      </c>
      <c r="D20" s="350">
        <f>D21</f>
        <v>2000</v>
      </c>
      <c r="E20" s="350">
        <f t="shared" ref="E20:F20" si="10">E21</f>
        <v>2220</v>
      </c>
      <c r="F20" s="350">
        <f t="shared" si="10"/>
        <v>2440.4</v>
      </c>
    </row>
    <row r="21" spans="1:6" x14ac:dyDescent="0.25">
      <c r="A21" s="354" t="s">
        <v>392</v>
      </c>
      <c r="B21" s="352">
        <f>'Prihodi po ek klas i izvorima'!E105</f>
        <v>0</v>
      </c>
      <c r="C21" s="352">
        <f>'Prihodi po ek klas i izvorima'!F105</f>
        <v>0</v>
      </c>
      <c r="D21" s="352">
        <f>'Prihodi po ek klas i izvorima'!G105</f>
        <v>2000</v>
      </c>
      <c r="E21" s="352">
        <f>'Prihodi po ek klas i izvorima'!H105</f>
        <v>2220</v>
      </c>
      <c r="F21" s="352">
        <f>'Prihodi po ek klas i izvorima'!I105</f>
        <v>2440.4</v>
      </c>
    </row>
    <row r="22" spans="1:6" ht="31.5" x14ac:dyDescent="0.25">
      <c r="A22" s="357" t="s">
        <v>701</v>
      </c>
      <c r="B22" s="350">
        <f t="shared" ref="B22:C22" si="11">B23</f>
        <v>0</v>
      </c>
      <c r="C22" s="350">
        <f t="shared" si="11"/>
        <v>0</v>
      </c>
      <c r="D22" s="350">
        <f>D23</f>
        <v>11800</v>
      </c>
      <c r="E22" s="350">
        <f t="shared" ref="E22:F22" si="12">E23</f>
        <v>10775</v>
      </c>
      <c r="F22" s="350">
        <f t="shared" si="12"/>
        <v>11064</v>
      </c>
    </row>
    <row r="23" spans="1:6" ht="31.5" x14ac:dyDescent="0.25">
      <c r="A23" s="355" t="s">
        <v>393</v>
      </c>
      <c r="B23" s="358">
        <f>'Prihodi po ek klas i izvorima'!E111+'Prihodi po ek klas i izvorima'!E120</f>
        <v>0</v>
      </c>
      <c r="C23" s="358">
        <f>'Prihodi po ek klas i izvorima'!F111+'Prihodi po ek klas i izvorima'!F120</f>
        <v>0</v>
      </c>
      <c r="D23" s="358">
        <f>'Prihodi po ek klas i izvorima'!G111+'Prihodi po ek klas i izvorima'!G120</f>
        <v>11800</v>
      </c>
      <c r="E23" s="358">
        <f>'Prihodi po ek klas i izvorima'!H111+'Prihodi po ek klas i izvorima'!H120</f>
        <v>10775</v>
      </c>
      <c r="F23" s="358">
        <f>'Prihodi po ek klas i izvorima'!I111+'Prihodi po ek klas i izvorima'!I120</f>
        <v>11064</v>
      </c>
    </row>
    <row r="24" spans="1:6" x14ac:dyDescent="0.25">
      <c r="A24" s="354"/>
      <c r="B24" s="359"/>
      <c r="C24" s="359"/>
      <c r="D24" s="359"/>
      <c r="E24" s="359"/>
      <c r="F24" s="359"/>
    </row>
    <row r="25" spans="1:6" x14ac:dyDescent="0.25">
      <c r="A25" s="347" t="s">
        <v>371</v>
      </c>
      <c r="B25" s="348" t="e">
        <f>B26+B28+B30+B32+B38+B40</f>
        <v>#REF!</v>
      </c>
      <c r="C25" s="348" t="e">
        <f>C26+C28+C30+C32+C38+C40</f>
        <v>#REF!</v>
      </c>
      <c r="D25" s="348">
        <f>D26+D28+D30+D32+D38+D40</f>
        <v>27155403.229999997</v>
      </c>
      <c r="E25" s="348">
        <f>E26+E28+E30+E32+E38+E40</f>
        <v>27423628.589999996</v>
      </c>
      <c r="F25" s="348">
        <f>F26+F28+F30+F32+F38+F40</f>
        <v>27667151.609999996</v>
      </c>
    </row>
    <row r="26" spans="1:6" x14ac:dyDescent="0.25">
      <c r="A26" s="349" t="s">
        <v>385</v>
      </c>
      <c r="B26" s="360" t="e">
        <f t="shared" ref="B26:C26" si="13">B27</f>
        <v>#REF!</v>
      </c>
      <c r="C26" s="360" t="e">
        <f t="shared" si="13"/>
        <v>#REF!</v>
      </c>
      <c r="D26" s="360">
        <f>D27</f>
        <v>1250606.02</v>
      </c>
      <c r="E26" s="360">
        <f t="shared" ref="E26:F26" si="14">E27</f>
        <v>1250606.02</v>
      </c>
      <c r="F26" s="360">
        <f t="shared" si="14"/>
        <v>1250606.02</v>
      </c>
    </row>
    <row r="27" spans="1:6" x14ac:dyDescent="0.25">
      <c r="A27" s="351" t="s">
        <v>386</v>
      </c>
      <c r="B27" s="359" t="e">
        <f>' PRIHODI I RASHODI-izvori'!E102</f>
        <v>#REF!</v>
      </c>
      <c r="C27" s="359" t="e">
        <f>' PRIHODI I RASHODI-izvori'!F102</f>
        <v>#REF!</v>
      </c>
      <c r="D27" s="359">
        <f>' PRIHODI I RASHODI-izvori'!G102</f>
        <v>1250606.02</v>
      </c>
      <c r="E27" s="359">
        <f>' PRIHODI I RASHODI-izvori'!H102</f>
        <v>1250606.02</v>
      </c>
      <c r="F27" s="359">
        <f>' PRIHODI I RASHODI-izvori'!I102</f>
        <v>1250606.02</v>
      </c>
    </row>
    <row r="28" spans="1:6" x14ac:dyDescent="0.25">
      <c r="A28" s="349" t="s">
        <v>692</v>
      </c>
      <c r="B28" s="360">
        <f t="shared" ref="B28:C28" si="15">B29</f>
        <v>0</v>
      </c>
      <c r="C28" s="360">
        <f t="shared" si="15"/>
        <v>0</v>
      </c>
      <c r="D28" s="360">
        <f>D29</f>
        <v>3804916.33</v>
      </c>
      <c r="E28" s="360">
        <f t="shared" ref="E28:F28" si="16">E29</f>
        <v>3850540.33</v>
      </c>
      <c r="F28" s="360">
        <f t="shared" si="16"/>
        <v>3882388.81</v>
      </c>
    </row>
    <row r="29" spans="1:6" x14ac:dyDescent="0.25">
      <c r="A29" s="351" t="s">
        <v>387</v>
      </c>
      <c r="B29" s="359">
        <f>' PRIHODI I RASHODI-izvori'!E239</f>
        <v>0</v>
      </c>
      <c r="C29" s="359">
        <f>' PRIHODI I RASHODI-izvori'!F239</f>
        <v>0</v>
      </c>
      <c r="D29" s="359">
        <f>' PRIHODI I RASHODI-izvori'!G239</f>
        <v>3804916.33</v>
      </c>
      <c r="E29" s="359">
        <f>' PRIHODI I RASHODI-izvori'!H239</f>
        <v>3850540.33</v>
      </c>
      <c r="F29" s="359">
        <f>' PRIHODI I RASHODI-izvori'!I239</f>
        <v>3882388.81</v>
      </c>
    </row>
    <row r="30" spans="1:6" x14ac:dyDescent="0.25">
      <c r="A30" s="353" t="s">
        <v>693</v>
      </c>
      <c r="B30" s="360">
        <f t="shared" ref="B30:C30" si="17">B31</f>
        <v>0</v>
      </c>
      <c r="C30" s="360">
        <f t="shared" si="17"/>
        <v>0</v>
      </c>
      <c r="D30" s="360">
        <f>D31</f>
        <v>21410157.050000001</v>
      </c>
      <c r="E30" s="360">
        <f t="shared" ref="E30:F30" si="18">E31</f>
        <v>21715388.41</v>
      </c>
      <c r="F30" s="360">
        <f t="shared" si="18"/>
        <v>22025967.890000001</v>
      </c>
    </row>
    <row r="31" spans="1:6" x14ac:dyDescent="0.25">
      <c r="A31" s="354" t="s">
        <v>394</v>
      </c>
      <c r="B31" s="359">
        <f>' PRIHODI I RASHODI-izvori'!E448</f>
        <v>0</v>
      </c>
      <c r="C31" s="359">
        <f>' PRIHODI I RASHODI-izvori'!F448</f>
        <v>0</v>
      </c>
      <c r="D31" s="359">
        <f>' PRIHODI I RASHODI-izvori'!G448</f>
        <v>21410157.050000001</v>
      </c>
      <c r="E31" s="359">
        <f>' PRIHODI I RASHODI-izvori'!H448</f>
        <v>21715388.41</v>
      </c>
      <c r="F31" s="359">
        <f>' PRIHODI I RASHODI-izvori'!I448</f>
        <v>22025967.890000001</v>
      </c>
    </row>
    <row r="32" spans="1:6" x14ac:dyDescent="0.25">
      <c r="A32" s="356" t="s">
        <v>694</v>
      </c>
      <c r="B32" s="360" t="e">
        <f t="shared" ref="B32:C32" si="19">B33</f>
        <v>#REF!</v>
      </c>
      <c r="C32" s="360" t="e">
        <f t="shared" si="19"/>
        <v>#REF!</v>
      </c>
      <c r="D32" s="360">
        <f>D33+D34+D36</f>
        <v>675923.83</v>
      </c>
      <c r="E32" s="360">
        <f t="shared" ref="E32:F32" si="20">E33+E34+E36</f>
        <v>593123.82999999996</v>
      </c>
      <c r="F32" s="360">
        <f t="shared" si="20"/>
        <v>493748.49</v>
      </c>
    </row>
    <row r="33" spans="1:6" s="42" customFormat="1" x14ac:dyDescent="0.25">
      <c r="A33" s="356" t="s">
        <v>391</v>
      </c>
      <c r="B33" s="360" t="e">
        <f>' PRIHODI I RASHODI-izvori'!E491</f>
        <v>#REF!</v>
      </c>
      <c r="C33" s="360" t="e">
        <f>' PRIHODI I RASHODI-izvori'!F491</f>
        <v>#REF!</v>
      </c>
      <c r="D33" s="360">
        <f>' PRIHODI I RASHODI-izvori'!G491</f>
        <v>82314.61</v>
      </c>
      <c r="E33" s="360">
        <f>' PRIHODI I RASHODI-izvori'!H491</f>
        <v>68314.61</v>
      </c>
      <c r="F33" s="360">
        <f>' PRIHODI I RASHODI-izvori'!I491</f>
        <v>68314.61</v>
      </c>
    </row>
    <row r="34" spans="1:6" x14ac:dyDescent="0.25">
      <c r="A34" s="356" t="s">
        <v>696</v>
      </c>
      <c r="B34" s="359"/>
      <c r="C34" s="359"/>
      <c r="D34" s="360">
        <f>D35</f>
        <v>156200</v>
      </c>
      <c r="E34" s="360">
        <f t="shared" ref="E34:F34" si="21">E35</f>
        <v>159324</v>
      </c>
      <c r="F34" s="360">
        <f t="shared" si="21"/>
        <v>162510.47999999998</v>
      </c>
    </row>
    <row r="35" spans="1:6" x14ac:dyDescent="0.25">
      <c r="A35" s="354" t="s">
        <v>697</v>
      </c>
      <c r="B35" s="359"/>
      <c r="C35" s="359"/>
      <c r="D35" s="359">
        <f>' PRIHODI I RASHODI-izvori'!G511</f>
        <v>156200</v>
      </c>
      <c r="E35" s="359">
        <f>' PRIHODI I RASHODI-izvori'!H511</f>
        <v>159324</v>
      </c>
      <c r="F35" s="359">
        <f>' PRIHODI I RASHODI-izvori'!I511</f>
        <v>162510.47999999998</v>
      </c>
    </row>
    <row r="36" spans="1:6" x14ac:dyDescent="0.25">
      <c r="A36" s="356" t="s">
        <v>698</v>
      </c>
      <c r="B36" s="359"/>
      <c r="C36" s="359"/>
      <c r="D36" s="360">
        <f>D37</f>
        <v>437409.22</v>
      </c>
      <c r="E36" s="360">
        <f t="shared" ref="E36:F36" si="22">E37</f>
        <v>365485.22</v>
      </c>
      <c r="F36" s="360">
        <f t="shared" si="22"/>
        <v>262923.40000000002</v>
      </c>
    </row>
    <row r="37" spans="1:6" ht="31.5" x14ac:dyDescent="0.25">
      <c r="A37" s="355" t="s">
        <v>699</v>
      </c>
      <c r="B37" s="359"/>
      <c r="C37" s="359"/>
      <c r="D37" s="359">
        <f>' PRIHODI I RASHODI-izvori'!G546</f>
        <v>437409.22</v>
      </c>
      <c r="E37" s="359">
        <f>' PRIHODI I RASHODI-izvori'!H546</f>
        <v>365485.22</v>
      </c>
      <c r="F37" s="359">
        <f>' PRIHODI I RASHODI-izvori'!I546</f>
        <v>262923.40000000002</v>
      </c>
    </row>
    <row r="38" spans="1:6" x14ac:dyDescent="0.25">
      <c r="A38" s="356" t="s">
        <v>695</v>
      </c>
      <c r="B38" s="360">
        <f t="shared" ref="B38:C38" si="23">B39</f>
        <v>0</v>
      </c>
      <c r="C38" s="360">
        <f t="shared" si="23"/>
        <v>0</v>
      </c>
      <c r="D38" s="360">
        <f>D39</f>
        <v>2000</v>
      </c>
      <c r="E38" s="360">
        <f t="shared" ref="E38:F38" si="24">E39</f>
        <v>2220</v>
      </c>
      <c r="F38" s="360">
        <f t="shared" si="24"/>
        <v>2440.4</v>
      </c>
    </row>
    <row r="39" spans="1:6" x14ac:dyDescent="0.25">
      <c r="A39" s="354" t="s">
        <v>392</v>
      </c>
      <c r="B39" s="359">
        <f>' PRIHODI I RASHODI-izvori'!E577</f>
        <v>0</v>
      </c>
      <c r="C39" s="359">
        <f>' PRIHODI I RASHODI-izvori'!F577</f>
        <v>0</v>
      </c>
      <c r="D39" s="359">
        <f>' PRIHODI I RASHODI-izvori'!G577</f>
        <v>2000</v>
      </c>
      <c r="E39" s="359">
        <f>' PRIHODI I RASHODI-izvori'!H577</f>
        <v>2220</v>
      </c>
      <c r="F39" s="359">
        <f>' PRIHODI I RASHODI-izvori'!I577</f>
        <v>2440.4</v>
      </c>
    </row>
    <row r="40" spans="1:6" ht="31.5" x14ac:dyDescent="0.25">
      <c r="A40" s="516" t="s">
        <v>701</v>
      </c>
      <c r="B40" s="360">
        <f t="shared" ref="B40:C40" si="25">B41</f>
        <v>0</v>
      </c>
      <c r="C40" s="360">
        <f t="shared" si="25"/>
        <v>0</v>
      </c>
      <c r="D40" s="360">
        <f>D41</f>
        <v>11800</v>
      </c>
      <c r="E40" s="360">
        <f t="shared" ref="E40:F40" si="26">E41</f>
        <v>11750</v>
      </c>
      <c r="F40" s="360">
        <f t="shared" si="26"/>
        <v>12000</v>
      </c>
    </row>
    <row r="41" spans="1:6" ht="31.5" x14ac:dyDescent="0.25">
      <c r="A41" s="361" t="s">
        <v>393</v>
      </c>
      <c r="B41" s="359">
        <f>' PRIHODI I RASHODI-izvori'!E600</f>
        <v>0</v>
      </c>
      <c r="C41" s="359">
        <f>' PRIHODI I RASHODI-izvori'!F600</f>
        <v>0</v>
      </c>
      <c r="D41" s="359">
        <f>' PRIHODI I RASHODI-izvori'!G600</f>
        <v>11800</v>
      </c>
      <c r="E41" s="359">
        <f>' PRIHODI I RASHODI-izvori'!H600</f>
        <v>11750</v>
      </c>
      <c r="F41" s="359">
        <f>' PRIHODI I RASHODI-izvori'!I600</f>
        <v>12000</v>
      </c>
    </row>
  </sheetData>
  <mergeCells count="1">
    <mergeCell ref="A1:F1"/>
  </mergeCells>
  <pageMargins left="0.74803149606299213" right="0.74803149606299213" top="0.98425196850393704" bottom="0.98425196850393704" header="0.51181102362204722" footer="0.51181102362204722"/>
  <pageSetup paperSize="9" scale="88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21"/>
  <sheetViews>
    <sheetView workbookViewId="0">
      <selection activeCell="D10" sqref="D10"/>
    </sheetView>
  </sheetViews>
  <sheetFormatPr defaultColWidth="16.85546875" defaultRowHeight="15.75" x14ac:dyDescent="0.25"/>
  <cols>
    <col min="1" max="1" width="34.42578125" style="74" customWidth="1"/>
    <col min="2" max="2" width="16.85546875" style="74" hidden="1" customWidth="1"/>
    <col min="3" max="3" width="19.28515625" style="74" hidden="1" customWidth="1"/>
    <col min="4" max="4" width="18.140625" style="74" bestFit="1" customWidth="1"/>
    <col min="5" max="5" width="18.28515625" style="74" customWidth="1"/>
    <col min="6" max="6" width="18.85546875" style="74" customWidth="1"/>
    <col min="7" max="16384" width="16.85546875" style="74"/>
  </cols>
  <sheetData>
    <row r="1" spans="1:7" x14ac:dyDescent="0.25">
      <c r="A1" s="586"/>
      <c r="B1" s="586"/>
      <c r="C1" s="586"/>
      <c r="D1" s="586"/>
      <c r="E1" s="586"/>
      <c r="F1" s="586"/>
      <c r="G1" s="459"/>
    </row>
    <row r="2" spans="1:7" x14ac:dyDescent="0.25">
      <c r="A2" s="586" t="s">
        <v>0</v>
      </c>
      <c r="B2" s="586"/>
      <c r="C2" s="586"/>
      <c r="D2" s="586"/>
      <c r="E2" s="586"/>
      <c r="F2" s="586"/>
    </row>
    <row r="3" spans="1:7" x14ac:dyDescent="0.25">
      <c r="A3" s="110"/>
      <c r="B3" s="110"/>
      <c r="C3" s="110"/>
      <c r="D3" s="110"/>
      <c r="E3" s="110"/>
      <c r="F3" s="110"/>
    </row>
    <row r="4" spans="1:7" x14ac:dyDescent="0.25">
      <c r="A4" s="586" t="s">
        <v>369</v>
      </c>
      <c r="B4" s="586"/>
      <c r="C4" s="586"/>
      <c r="D4" s="586"/>
      <c r="E4" s="586"/>
      <c r="F4" s="592"/>
    </row>
    <row r="5" spans="1:7" x14ac:dyDescent="0.25">
      <c r="A5" s="110"/>
      <c r="B5" s="110"/>
      <c r="C5" s="110"/>
      <c r="D5" s="110"/>
      <c r="E5" s="110"/>
      <c r="F5" s="110"/>
    </row>
    <row r="6" spans="1:7" x14ac:dyDescent="0.25">
      <c r="A6" s="586" t="s">
        <v>370</v>
      </c>
      <c r="B6" s="586"/>
      <c r="C6" s="586"/>
      <c r="D6" s="586"/>
      <c r="E6" s="586"/>
      <c r="F6" s="593"/>
    </row>
    <row r="7" spans="1:7" x14ac:dyDescent="0.25">
      <c r="A7" s="110"/>
      <c r="B7" s="110"/>
      <c r="C7" s="110"/>
      <c r="D7" s="110"/>
      <c r="E7" s="110"/>
      <c r="F7" s="110"/>
    </row>
    <row r="8" spans="1:7" ht="47.25" x14ac:dyDescent="0.25">
      <c r="A8" s="513" t="s">
        <v>265</v>
      </c>
      <c r="B8" s="120" t="s">
        <v>556</v>
      </c>
      <c r="C8" s="120" t="s">
        <v>560</v>
      </c>
      <c r="D8" s="320" t="s">
        <v>558</v>
      </c>
      <c r="E8" s="113" t="s">
        <v>559</v>
      </c>
      <c r="F8" s="114" t="s">
        <v>557</v>
      </c>
    </row>
    <row r="9" spans="1:7" s="465" customFormat="1" x14ac:dyDescent="0.25">
      <c r="A9" s="514">
        <v>1</v>
      </c>
      <c r="B9" s="461">
        <v>2</v>
      </c>
      <c r="C9" s="461">
        <v>3</v>
      </c>
      <c r="D9" s="462">
        <v>4</v>
      </c>
      <c r="E9" s="463">
        <v>5</v>
      </c>
      <c r="F9" s="464">
        <v>6</v>
      </c>
    </row>
    <row r="10" spans="1:7" s="465" customFormat="1" x14ac:dyDescent="0.25">
      <c r="A10" s="347" t="s">
        <v>371</v>
      </c>
      <c r="B10" s="348" t="e">
        <f>'RASHODI-ek.kl.'!D274</f>
        <v>#REF!</v>
      </c>
      <c r="C10" s="348" t="e">
        <f>'RASHODI-ek.kl.'!E274</f>
        <v>#REF!</v>
      </c>
      <c r="D10" s="348">
        <f>'RASHODI-ek.kl.'!F274</f>
        <v>27155403.23</v>
      </c>
      <c r="E10" s="466">
        <f>'RASHODI-ek.kl.'!G274</f>
        <v>27423628.59</v>
      </c>
      <c r="F10" s="466">
        <f>'RASHODI-ek.kl.'!H274</f>
        <v>27667151.609999999</v>
      </c>
    </row>
    <row r="11" spans="1:7" s="89" customFormat="1" x14ac:dyDescent="0.25">
      <c r="A11" s="349" t="s">
        <v>372</v>
      </c>
      <c r="B11" s="350" t="e">
        <f t="shared" ref="B11:C11" si="0">B12</f>
        <v>#REF!</v>
      </c>
      <c r="C11" s="350" t="e">
        <f t="shared" si="0"/>
        <v>#REF!</v>
      </c>
      <c r="D11" s="350">
        <f>D12</f>
        <v>27155403.229999997</v>
      </c>
      <c r="E11" s="467">
        <f t="shared" ref="E11:F11" si="1">E12</f>
        <v>27423628.590000004</v>
      </c>
      <c r="F11" s="467">
        <f t="shared" si="1"/>
        <v>27667151.609999999</v>
      </c>
    </row>
    <row r="12" spans="1:7" s="89" customFormat="1" x14ac:dyDescent="0.25">
      <c r="A12" s="349" t="s">
        <v>373</v>
      </c>
      <c r="B12" s="350" t="e">
        <f t="shared" ref="B12:C12" si="2">B13+B14+B15</f>
        <v>#REF!</v>
      </c>
      <c r="C12" s="350" t="e">
        <f t="shared" si="2"/>
        <v>#REF!</v>
      </c>
      <c r="D12" s="350">
        <f>D13+D14+D15</f>
        <v>27155403.229999997</v>
      </c>
      <c r="E12" s="467">
        <f t="shared" ref="E12:F12" si="3">E13+E14+E15</f>
        <v>27423628.590000004</v>
      </c>
      <c r="F12" s="467">
        <f t="shared" si="3"/>
        <v>27667151.609999999</v>
      </c>
    </row>
    <row r="13" spans="1:7" s="89" customFormat="1" x14ac:dyDescent="0.25">
      <c r="A13" s="351" t="s">
        <v>374</v>
      </c>
      <c r="B13" s="352" t="e">
        <f t="shared" ref="B13:C13" si="4">ROUND(B10*0.6,2)</f>
        <v>#REF!</v>
      </c>
      <c r="C13" s="352" t="e">
        <f t="shared" si="4"/>
        <v>#REF!</v>
      </c>
      <c r="D13" s="352">
        <f t="shared" ref="D13:E13" si="5">ROUND(D10*0.6,2)</f>
        <v>16293241.939999999</v>
      </c>
      <c r="E13" s="468">
        <f t="shared" si="5"/>
        <v>16454177.15</v>
      </c>
      <c r="F13" s="469">
        <f>ROUND(F10*0.6,2)</f>
        <v>16600290.970000001</v>
      </c>
    </row>
    <row r="14" spans="1:7" s="89" customFormat="1" x14ac:dyDescent="0.25">
      <c r="A14" s="351" t="s">
        <v>375</v>
      </c>
      <c r="B14" s="352" t="e">
        <f t="shared" ref="B14:C14" si="6">ROUND(B10*0.15,2)</f>
        <v>#REF!</v>
      </c>
      <c r="C14" s="352" t="e">
        <f t="shared" si="6"/>
        <v>#REF!</v>
      </c>
      <c r="D14" s="352">
        <f t="shared" ref="D14:E14" si="7">ROUND(D10*0.15,2)</f>
        <v>4073310.48</v>
      </c>
      <c r="E14" s="468">
        <f t="shared" si="7"/>
        <v>4113544.29</v>
      </c>
      <c r="F14" s="469">
        <f>ROUND(F10*0.15,2)</f>
        <v>4150072.74</v>
      </c>
    </row>
    <row r="15" spans="1:7" s="89" customFormat="1" x14ac:dyDescent="0.25">
      <c r="A15" s="351" t="s">
        <v>376</v>
      </c>
      <c r="B15" s="352" t="e">
        <f t="shared" ref="B15:C15" si="8">ROUND(B10*0.25,2)</f>
        <v>#REF!</v>
      </c>
      <c r="C15" s="352" t="e">
        <f t="shared" si="8"/>
        <v>#REF!</v>
      </c>
      <c r="D15" s="352">
        <f t="shared" ref="D15:E15" si="9">ROUND(D10*0.25,2)</f>
        <v>6788850.8099999996</v>
      </c>
      <c r="E15" s="468">
        <f t="shared" si="9"/>
        <v>6855907.1500000004</v>
      </c>
      <c r="F15" s="469">
        <f>ROUND(F10*0.25,2)</f>
        <v>6916787.9000000004</v>
      </c>
    </row>
    <row r="16" spans="1:7" s="473" customFormat="1" x14ac:dyDescent="0.25">
      <c r="A16" s="357" t="s">
        <v>377</v>
      </c>
      <c r="B16" s="357"/>
      <c r="C16" s="357"/>
      <c r="D16" s="470">
        <f>D17</f>
        <v>0</v>
      </c>
      <c r="E16" s="471">
        <f>E17</f>
        <v>0</v>
      </c>
      <c r="F16" s="472">
        <f>F17</f>
        <v>0</v>
      </c>
    </row>
    <row r="17" spans="1:6" s="477" customFormat="1" x14ac:dyDescent="0.25">
      <c r="A17" s="474" t="s">
        <v>378</v>
      </c>
      <c r="B17" s="474"/>
      <c r="C17" s="474"/>
      <c r="D17" s="475"/>
      <c r="E17" s="476"/>
      <c r="F17" s="359"/>
    </row>
    <row r="18" spans="1:6" s="89" customFormat="1" x14ac:dyDescent="0.25">
      <c r="A18" s="482" t="s">
        <v>379</v>
      </c>
      <c r="B18" s="478"/>
      <c r="C18" s="478"/>
      <c r="D18" s="479">
        <v>0</v>
      </c>
      <c r="E18" s="480">
        <v>0</v>
      </c>
      <c r="F18" s="481">
        <v>0</v>
      </c>
    </row>
    <row r="21" spans="1:6" x14ac:dyDescent="0.25">
      <c r="F21" s="460"/>
    </row>
  </sheetData>
  <mergeCells count="4">
    <mergeCell ref="A1:F1"/>
    <mergeCell ref="A2:F2"/>
    <mergeCell ref="A4:F4"/>
    <mergeCell ref="A6:F6"/>
  </mergeCells>
  <pageMargins left="0.74803149606299213" right="0.74803149606299213" top="0.98425196850393704" bottom="0.98425196850393704" header="0.51181102362204722" footer="0.51181102362204722"/>
  <pageSetup paperSize="9" scale="8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S741"/>
  <sheetViews>
    <sheetView zoomScaleNormal="100" workbookViewId="0">
      <selection activeCell="E5" sqref="E5:G5"/>
    </sheetView>
  </sheetViews>
  <sheetFormatPr defaultRowHeight="15.75" x14ac:dyDescent="0.25"/>
  <cols>
    <col min="1" max="1" width="15.140625" style="400" bestFit="1" customWidth="1"/>
    <col min="2" max="2" width="63.140625" style="400" bestFit="1" customWidth="1"/>
    <col min="3" max="3" width="13.5703125" style="400" hidden="1" customWidth="1"/>
    <col min="4" max="4" width="19.85546875" style="400" hidden="1" customWidth="1"/>
    <col min="5" max="5" width="18.140625" style="411" bestFit="1" customWidth="1"/>
    <col min="6" max="6" width="19.7109375" style="411" bestFit="1" customWidth="1"/>
    <col min="7" max="7" width="18.85546875" style="411" bestFit="1" customWidth="1"/>
    <col min="8" max="228" width="9.140625" style="393"/>
    <col min="229" max="229" width="14.5703125" style="393" customWidth="1"/>
    <col min="230" max="230" width="55" style="393" customWidth="1"/>
    <col min="231" max="231" width="15.85546875" style="393" customWidth="1"/>
    <col min="232" max="232" width="19.85546875" style="393" customWidth="1"/>
    <col min="233" max="233" width="19.140625" style="393" bestFit="1" customWidth="1"/>
    <col min="234" max="234" width="15.140625" style="393" customWidth="1"/>
    <col min="235" max="235" width="12.5703125" style="393" customWidth="1"/>
    <col min="236" max="236" width="15.7109375" style="393" customWidth="1"/>
    <col min="237" max="237" width="10.7109375" style="393" bestFit="1" customWidth="1"/>
    <col min="238" max="238" width="10.28515625" style="393" bestFit="1" customWidth="1"/>
    <col min="239" max="239" width="11.85546875" style="393" bestFit="1" customWidth="1"/>
    <col min="240" max="240" width="15.42578125" style="393" customWidth="1"/>
    <col min="241" max="484" width="9.140625" style="393"/>
    <col min="485" max="485" width="14.5703125" style="393" customWidth="1"/>
    <col min="486" max="486" width="55" style="393" customWidth="1"/>
    <col min="487" max="487" width="15.85546875" style="393" customWidth="1"/>
    <col min="488" max="488" width="19.85546875" style="393" customWidth="1"/>
    <col min="489" max="489" width="19.140625" style="393" bestFit="1" customWidth="1"/>
    <col min="490" max="490" width="15.140625" style="393" customWidth="1"/>
    <col min="491" max="491" width="12.5703125" style="393" customWidth="1"/>
    <col min="492" max="492" width="15.7109375" style="393" customWidth="1"/>
    <col min="493" max="493" width="10.7109375" style="393" bestFit="1" customWidth="1"/>
    <col min="494" max="494" width="10.28515625" style="393" bestFit="1" customWidth="1"/>
    <col min="495" max="495" width="11.85546875" style="393" bestFit="1" customWidth="1"/>
    <col min="496" max="496" width="15.42578125" style="393" customWidth="1"/>
    <col min="497" max="740" width="9.140625" style="393"/>
    <col min="741" max="741" width="14.5703125" style="393" customWidth="1"/>
    <col min="742" max="742" width="55" style="393" customWidth="1"/>
    <col min="743" max="743" width="15.85546875" style="393" customWidth="1"/>
    <col min="744" max="744" width="19.85546875" style="393" customWidth="1"/>
    <col min="745" max="745" width="19.140625" style="393" bestFit="1" customWidth="1"/>
    <col min="746" max="746" width="15.140625" style="393" customWidth="1"/>
    <col min="747" max="747" width="12.5703125" style="393" customWidth="1"/>
    <col min="748" max="748" width="15.7109375" style="393" customWidth="1"/>
    <col min="749" max="749" width="10.7109375" style="393" bestFit="1" customWidth="1"/>
    <col min="750" max="750" width="10.28515625" style="393" bestFit="1" customWidth="1"/>
    <col min="751" max="751" width="11.85546875" style="393" bestFit="1" customWidth="1"/>
    <col min="752" max="752" width="15.42578125" style="393" customWidth="1"/>
    <col min="753" max="996" width="9.140625" style="393"/>
    <col min="997" max="997" width="14.5703125" style="393" customWidth="1"/>
    <col min="998" max="998" width="55" style="393" customWidth="1"/>
    <col min="999" max="999" width="15.85546875" style="393" customWidth="1"/>
    <col min="1000" max="1000" width="19.85546875" style="393" customWidth="1"/>
    <col min="1001" max="1001" width="19.140625" style="393" bestFit="1" customWidth="1"/>
    <col min="1002" max="1002" width="15.140625" style="393" customWidth="1"/>
    <col min="1003" max="1003" width="12.5703125" style="393" customWidth="1"/>
    <col min="1004" max="1004" width="15.7109375" style="393" customWidth="1"/>
    <col min="1005" max="1005" width="10.7109375" style="393" bestFit="1" customWidth="1"/>
    <col min="1006" max="1006" width="10.28515625" style="393" bestFit="1" customWidth="1"/>
    <col min="1007" max="1007" width="11.85546875" style="393" bestFit="1" customWidth="1"/>
    <col min="1008" max="1008" width="15.42578125" style="393" customWidth="1"/>
    <col min="1009" max="1252" width="9.140625" style="393"/>
    <col min="1253" max="1253" width="14.5703125" style="393" customWidth="1"/>
    <col min="1254" max="1254" width="55" style="393" customWidth="1"/>
    <col min="1255" max="1255" width="15.85546875" style="393" customWidth="1"/>
    <col min="1256" max="1256" width="19.85546875" style="393" customWidth="1"/>
    <col min="1257" max="1257" width="19.140625" style="393" bestFit="1" customWidth="1"/>
    <col min="1258" max="1258" width="15.140625" style="393" customWidth="1"/>
    <col min="1259" max="1259" width="12.5703125" style="393" customWidth="1"/>
    <col min="1260" max="1260" width="15.7109375" style="393" customWidth="1"/>
    <col min="1261" max="1261" width="10.7109375" style="393" bestFit="1" customWidth="1"/>
    <col min="1262" max="1262" width="10.28515625" style="393" bestFit="1" customWidth="1"/>
    <col min="1263" max="1263" width="11.85546875" style="393" bestFit="1" customWidth="1"/>
    <col min="1264" max="1264" width="15.42578125" style="393" customWidth="1"/>
    <col min="1265" max="1508" width="9.140625" style="393"/>
    <col min="1509" max="1509" width="14.5703125" style="393" customWidth="1"/>
    <col min="1510" max="1510" width="55" style="393" customWidth="1"/>
    <col min="1511" max="1511" width="15.85546875" style="393" customWidth="1"/>
    <col min="1512" max="1512" width="19.85546875" style="393" customWidth="1"/>
    <col min="1513" max="1513" width="19.140625" style="393" bestFit="1" customWidth="1"/>
    <col min="1514" max="1514" width="15.140625" style="393" customWidth="1"/>
    <col min="1515" max="1515" width="12.5703125" style="393" customWidth="1"/>
    <col min="1516" max="1516" width="15.7109375" style="393" customWidth="1"/>
    <col min="1517" max="1517" width="10.7109375" style="393" bestFit="1" customWidth="1"/>
    <col min="1518" max="1518" width="10.28515625" style="393" bestFit="1" customWidth="1"/>
    <col min="1519" max="1519" width="11.85546875" style="393" bestFit="1" customWidth="1"/>
    <col min="1520" max="1520" width="15.42578125" style="393" customWidth="1"/>
    <col min="1521" max="1764" width="9.140625" style="393"/>
    <col min="1765" max="1765" width="14.5703125" style="393" customWidth="1"/>
    <col min="1766" max="1766" width="55" style="393" customWidth="1"/>
    <col min="1767" max="1767" width="15.85546875" style="393" customWidth="1"/>
    <col min="1768" max="1768" width="19.85546875" style="393" customWidth="1"/>
    <col min="1769" max="1769" width="19.140625" style="393" bestFit="1" customWidth="1"/>
    <col min="1770" max="1770" width="15.140625" style="393" customWidth="1"/>
    <col min="1771" max="1771" width="12.5703125" style="393" customWidth="1"/>
    <col min="1772" max="1772" width="15.7109375" style="393" customWidth="1"/>
    <col min="1773" max="1773" width="10.7109375" style="393" bestFit="1" customWidth="1"/>
    <col min="1774" max="1774" width="10.28515625" style="393" bestFit="1" customWidth="1"/>
    <col min="1775" max="1775" width="11.85546875" style="393" bestFit="1" customWidth="1"/>
    <col min="1776" max="1776" width="15.42578125" style="393" customWidth="1"/>
    <col min="1777" max="2020" width="9.140625" style="393"/>
    <col min="2021" max="2021" width="14.5703125" style="393" customWidth="1"/>
    <col min="2022" max="2022" width="55" style="393" customWidth="1"/>
    <col min="2023" max="2023" width="15.85546875" style="393" customWidth="1"/>
    <col min="2024" max="2024" width="19.85546875" style="393" customWidth="1"/>
    <col min="2025" max="2025" width="19.140625" style="393" bestFit="1" customWidth="1"/>
    <col min="2026" max="2026" width="15.140625" style="393" customWidth="1"/>
    <col min="2027" max="2027" width="12.5703125" style="393" customWidth="1"/>
    <col min="2028" max="2028" width="15.7109375" style="393" customWidth="1"/>
    <col min="2029" max="2029" width="10.7109375" style="393" bestFit="1" customWidth="1"/>
    <col min="2030" max="2030" width="10.28515625" style="393" bestFit="1" customWidth="1"/>
    <col min="2031" max="2031" width="11.85546875" style="393" bestFit="1" customWidth="1"/>
    <col min="2032" max="2032" width="15.42578125" style="393" customWidth="1"/>
    <col min="2033" max="2276" width="9.140625" style="393"/>
    <col min="2277" max="2277" width="14.5703125" style="393" customWidth="1"/>
    <col min="2278" max="2278" width="55" style="393" customWidth="1"/>
    <col min="2279" max="2279" width="15.85546875" style="393" customWidth="1"/>
    <col min="2280" max="2280" width="19.85546875" style="393" customWidth="1"/>
    <col min="2281" max="2281" width="19.140625" style="393" bestFit="1" customWidth="1"/>
    <col min="2282" max="2282" width="15.140625" style="393" customWidth="1"/>
    <col min="2283" max="2283" width="12.5703125" style="393" customWidth="1"/>
    <col min="2284" max="2284" width="15.7109375" style="393" customWidth="1"/>
    <col min="2285" max="2285" width="10.7109375" style="393" bestFit="1" customWidth="1"/>
    <col min="2286" max="2286" width="10.28515625" style="393" bestFit="1" customWidth="1"/>
    <col min="2287" max="2287" width="11.85546875" style="393" bestFit="1" customWidth="1"/>
    <col min="2288" max="2288" width="15.42578125" style="393" customWidth="1"/>
    <col min="2289" max="2532" width="9.140625" style="393"/>
    <col min="2533" max="2533" width="14.5703125" style="393" customWidth="1"/>
    <col min="2534" max="2534" width="55" style="393" customWidth="1"/>
    <col min="2535" max="2535" width="15.85546875" style="393" customWidth="1"/>
    <col min="2536" max="2536" width="19.85546875" style="393" customWidth="1"/>
    <col min="2537" max="2537" width="19.140625" style="393" bestFit="1" customWidth="1"/>
    <col min="2538" max="2538" width="15.140625" style="393" customWidth="1"/>
    <col min="2539" max="2539" width="12.5703125" style="393" customWidth="1"/>
    <col min="2540" max="2540" width="15.7109375" style="393" customWidth="1"/>
    <col min="2541" max="2541" width="10.7109375" style="393" bestFit="1" customWidth="1"/>
    <col min="2542" max="2542" width="10.28515625" style="393" bestFit="1" customWidth="1"/>
    <col min="2543" max="2543" width="11.85546875" style="393" bestFit="1" customWidth="1"/>
    <col min="2544" max="2544" width="15.42578125" style="393" customWidth="1"/>
    <col min="2545" max="2788" width="9.140625" style="393"/>
    <col min="2789" max="2789" width="14.5703125" style="393" customWidth="1"/>
    <col min="2790" max="2790" width="55" style="393" customWidth="1"/>
    <col min="2791" max="2791" width="15.85546875" style="393" customWidth="1"/>
    <col min="2792" max="2792" width="19.85546875" style="393" customWidth="1"/>
    <col min="2793" max="2793" width="19.140625" style="393" bestFit="1" customWidth="1"/>
    <col min="2794" max="2794" width="15.140625" style="393" customWidth="1"/>
    <col min="2795" max="2795" width="12.5703125" style="393" customWidth="1"/>
    <col min="2796" max="2796" width="15.7109375" style="393" customWidth="1"/>
    <col min="2797" max="2797" width="10.7109375" style="393" bestFit="1" customWidth="1"/>
    <col min="2798" max="2798" width="10.28515625" style="393" bestFit="1" customWidth="1"/>
    <col min="2799" max="2799" width="11.85546875" style="393" bestFit="1" customWidth="1"/>
    <col min="2800" max="2800" width="15.42578125" style="393" customWidth="1"/>
    <col min="2801" max="3044" width="9.140625" style="393"/>
    <col min="3045" max="3045" width="14.5703125" style="393" customWidth="1"/>
    <col min="3046" max="3046" width="55" style="393" customWidth="1"/>
    <col min="3047" max="3047" width="15.85546875" style="393" customWidth="1"/>
    <col min="3048" max="3048" width="19.85546875" style="393" customWidth="1"/>
    <col min="3049" max="3049" width="19.140625" style="393" bestFit="1" customWidth="1"/>
    <col min="3050" max="3050" width="15.140625" style="393" customWidth="1"/>
    <col min="3051" max="3051" width="12.5703125" style="393" customWidth="1"/>
    <col min="3052" max="3052" width="15.7109375" style="393" customWidth="1"/>
    <col min="3053" max="3053" width="10.7109375" style="393" bestFit="1" customWidth="1"/>
    <col min="3054" max="3054" width="10.28515625" style="393" bestFit="1" customWidth="1"/>
    <col min="3055" max="3055" width="11.85546875" style="393" bestFit="1" customWidth="1"/>
    <col min="3056" max="3056" width="15.42578125" style="393" customWidth="1"/>
    <col min="3057" max="3300" width="9.140625" style="393"/>
    <col min="3301" max="3301" width="14.5703125" style="393" customWidth="1"/>
    <col min="3302" max="3302" width="55" style="393" customWidth="1"/>
    <col min="3303" max="3303" width="15.85546875" style="393" customWidth="1"/>
    <col min="3304" max="3304" width="19.85546875" style="393" customWidth="1"/>
    <col min="3305" max="3305" width="19.140625" style="393" bestFit="1" customWidth="1"/>
    <col min="3306" max="3306" width="15.140625" style="393" customWidth="1"/>
    <col min="3307" max="3307" width="12.5703125" style="393" customWidth="1"/>
    <col min="3308" max="3308" width="15.7109375" style="393" customWidth="1"/>
    <col min="3309" max="3309" width="10.7109375" style="393" bestFit="1" customWidth="1"/>
    <col min="3310" max="3310" width="10.28515625" style="393" bestFit="1" customWidth="1"/>
    <col min="3311" max="3311" width="11.85546875" style="393" bestFit="1" customWidth="1"/>
    <col min="3312" max="3312" width="15.42578125" style="393" customWidth="1"/>
    <col min="3313" max="3556" width="9.140625" style="393"/>
    <col min="3557" max="3557" width="14.5703125" style="393" customWidth="1"/>
    <col min="3558" max="3558" width="55" style="393" customWidth="1"/>
    <col min="3559" max="3559" width="15.85546875" style="393" customWidth="1"/>
    <col min="3560" max="3560" width="19.85546875" style="393" customWidth="1"/>
    <col min="3561" max="3561" width="19.140625" style="393" bestFit="1" customWidth="1"/>
    <col min="3562" max="3562" width="15.140625" style="393" customWidth="1"/>
    <col min="3563" max="3563" width="12.5703125" style="393" customWidth="1"/>
    <col min="3564" max="3564" width="15.7109375" style="393" customWidth="1"/>
    <col min="3565" max="3565" width="10.7109375" style="393" bestFit="1" customWidth="1"/>
    <col min="3566" max="3566" width="10.28515625" style="393" bestFit="1" customWidth="1"/>
    <col min="3567" max="3567" width="11.85546875" style="393" bestFit="1" customWidth="1"/>
    <col min="3568" max="3568" width="15.42578125" style="393" customWidth="1"/>
    <col min="3569" max="3812" width="9.140625" style="393"/>
    <col min="3813" max="3813" width="14.5703125" style="393" customWidth="1"/>
    <col min="3814" max="3814" width="55" style="393" customWidth="1"/>
    <col min="3815" max="3815" width="15.85546875" style="393" customWidth="1"/>
    <col min="3816" max="3816" width="19.85546875" style="393" customWidth="1"/>
    <col min="3817" max="3817" width="19.140625" style="393" bestFit="1" customWidth="1"/>
    <col min="3818" max="3818" width="15.140625" style="393" customWidth="1"/>
    <col min="3819" max="3819" width="12.5703125" style="393" customWidth="1"/>
    <col min="3820" max="3820" width="15.7109375" style="393" customWidth="1"/>
    <col min="3821" max="3821" width="10.7109375" style="393" bestFit="1" customWidth="1"/>
    <col min="3822" max="3822" width="10.28515625" style="393" bestFit="1" customWidth="1"/>
    <col min="3823" max="3823" width="11.85546875" style="393" bestFit="1" customWidth="1"/>
    <col min="3824" max="3824" width="15.42578125" style="393" customWidth="1"/>
    <col min="3825" max="4068" width="9.140625" style="393"/>
    <col min="4069" max="4069" width="14.5703125" style="393" customWidth="1"/>
    <col min="4070" max="4070" width="55" style="393" customWidth="1"/>
    <col min="4071" max="4071" width="15.85546875" style="393" customWidth="1"/>
    <col min="4072" max="4072" width="19.85546875" style="393" customWidth="1"/>
    <col min="4073" max="4073" width="19.140625" style="393" bestFit="1" customWidth="1"/>
    <col min="4074" max="4074" width="15.140625" style="393" customWidth="1"/>
    <col min="4075" max="4075" width="12.5703125" style="393" customWidth="1"/>
    <col min="4076" max="4076" width="15.7109375" style="393" customWidth="1"/>
    <col min="4077" max="4077" width="10.7109375" style="393" bestFit="1" customWidth="1"/>
    <col min="4078" max="4078" width="10.28515625" style="393" bestFit="1" customWidth="1"/>
    <col min="4079" max="4079" width="11.85546875" style="393" bestFit="1" customWidth="1"/>
    <col min="4080" max="4080" width="15.42578125" style="393" customWidth="1"/>
    <col min="4081" max="4324" width="9.140625" style="393"/>
    <col min="4325" max="4325" width="14.5703125" style="393" customWidth="1"/>
    <col min="4326" max="4326" width="55" style="393" customWidth="1"/>
    <col min="4327" max="4327" width="15.85546875" style="393" customWidth="1"/>
    <col min="4328" max="4328" width="19.85546875" style="393" customWidth="1"/>
    <col min="4329" max="4329" width="19.140625" style="393" bestFit="1" customWidth="1"/>
    <col min="4330" max="4330" width="15.140625" style="393" customWidth="1"/>
    <col min="4331" max="4331" width="12.5703125" style="393" customWidth="1"/>
    <col min="4332" max="4332" width="15.7109375" style="393" customWidth="1"/>
    <col min="4333" max="4333" width="10.7109375" style="393" bestFit="1" customWidth="1"/>
    <col min="4334" max="4334" width="10.28515625" style="393" bestFit="1" customWidth="1"/>
    <col min="4335" max="4335" width="11.85546875" style="393" bestFit="1" customWidth="1"/>
    <col min="4336" max="4336" width="15.42578125" style="393" customWidth="1"/>
    <col min="4337" max="4580" width="9.140625" style="393"/>
    <col min="4581" max="4581" width="14.5703125" style="393" customWidth="1"/>
    <col min="4582" max="4582" width="55" style="393" customWidth="1"/>
    <col min="4583" max="4583" width="15.85546875" style="393" customWidth="1"/>
    <col min="4584" max="4584" width="19.85546875" style="393" customWidth="1"/>
    <col min="4585" max="4585" width="19.140625" style="393" bestFit="1" customWidth="1"/>
    <col min="4586" max="4586" width="15.140625" style="393" customWidth="1"/>
    <col min="4587" max="4587" width="12.5703125" style="393" customWidth="1"/>
    <col min="4588" max="4588" width="15.7109375" style="393" customWidth="1"/>
    <col min="4589" max="4589" width="10.7109375" style="393" bestFit="1" customWidth="1"/>
    <col min="4590" max="4590" width="10.28515625" style="393" bestFit="1" customWidth="1"/>
    <col min="4591" max="4591" width="11.85546875" style="393" bestFit="1" customWidth="1"/>
    <col min="4592" max="4592" width="15.42578125" style="393" customWidth="1"/>
    <col min="4593" max="4836" width="9.140625" style="393"/>
    <col min="4837" max="4837" width="14.5703125" style="393" customWidth="1"/>
    <col min="4838" max="4838" width="55" style="393" customWidth="1"/>
    <col min="4839" max="4839" width="15.85546875" style="393" customWidth="1"/>
    <col min="4840" max="4840" width="19.85546875" style="393" customWidth="1"/>
    <col min="4841" max="4841" width="19.140625" style="393" bestFit="1" customWidth="1"/>
    <col min="4842" max="4842" width="15.140625" style="393" customWidth="1"/>
    <col min="4843" max="4843" width="12.5703125" style="393" customWidth="1"/>
    <col min="4844" max="4844" width="15.7109375" style="393" customWidth="1"/>
    <col min="4845" max="4845" width="10.7109375" style="393" bestFit="1" customWidth="1"/>
    <col min="4846" max="4846" width="10.28515625" style="393" bestFit="1" customWidth="1"/>
    <col min="4847" max="4847" width="11.85546875" style="393" bestFit="1" customWidth="1"/>
    <col min="4848" max="4848" width="15.42578125" style="393" customWidth="1"/>
    <col min="4849" max="5092" width="9.140625" style="393"/>
    <col min="5093" max="5093" width="14.5703125" style="393" customWidth="1"/>
    <col min="5094" max="5094" width="55" style="393" customWidth="1"/>
    <col min="5095" max="5095" width="15.85546875" style="393" customWidth="1"/>
    <col min="5096" max="5096" width="19.85546875" style="393" customWidth="1"/>
    <col min="5097" max="5097" width="19.140625" style="393" bestFit="1" customWidth="1"/>
    <col min="5098" max="5098" width="15.140625" style="393" customWidth="1"/>
    <col min="5099" max="5099" width="12.5703125" style="393" customWidth="1"/>
    <col min="5100" max="5100" width="15.7109375" style="393" customWidth="1"/>
    <col min="5101" max="5101" width="10.7109375" style="393" bestFit="1" customWidth="1"/>
    <col min="5102" max="5102" width="10.28515625" style="393" bestFit="1" customWidth="1"/>
    <col min="5103" max="5103" width="11.85546875" style="393" bestFit="1" customWidth="1"/>
    <col min="5104" max="5104" width="15.42578125" style="393" customWidth="1"/>
    <col min="5105" max="5348" width="9.140625" style="393"/>
    <col min="5349" max="5349" width="14.5703125" style="393" customWidth="1"/>
    <col min="5350" max="5350" width="55" style="393" customWidth="1"/>
    <col min="5351" max="5351" width="15.85546875" style="393" customWidth="1"/>
    <col min="5352" max="5352" width="19.85546875" style="393" customWidth="1"/>
    <col min="5353" max="5353" width="19.140625" style="393" bestFit="1" customWidth="1"/>
    <col min="5354" max="5354" width="15.140625" style="393" customWidth="1"/>
    <col min="5355" max="5355" width="12.5703125" style="393" customWidth="1"/>
    <col min="5356" max="5356" width="15.7109375" style="393" customWidth="1"/>
    <col min="5357" max="5357" width="10.7109375" style="393" bestFit="1" customWidth="1"/>
    <col min="5358" max="5358" width="10.28515625" style="393" bestFit="1" customWidth="1"/>
    <col min="5359" max="5359" width="11.85546875" style="393" bestFit="1" customWidth="1"/>
    <col min="5360" max="5360" width="15.42578125" style="393" customWidth="1"/>
    <col min="5361" max="5604" width="9.140625" style="393"/>
    <col min="5605" max="5605" width="14.5703125" style="393" customWidth="1"/>
    <col min="5606" max="5606" width="55" style="393" customWidth="1"/>
    <col min="5607" max="5607" width="15.85546875" style="393" customWidth="1"/>
    <col min="5608" max="5608" width="19.85546875" style="393" customWidth="1"/>
    <col min="5609" max="5609" width="19.140625" style="393" bestFit="1" customWidth="1"/>
    <col min="5610" max="5610" width="15.140625" style="393" customWidth="1"/>
    <col min="5611" max="5611" width="12.5703125" style="393" customWidth="1"/>
    <col min="5612" max="5612" width="15.7109375" style="393" customWidth="1"/>
    <col min="5613" max="5613" width="10.7109375" style="393" bestFit="1" customWidth="1"/>
    <col min="5614" max="5614" width="10.28515625" style="393" bestFit="1" customWidth="1"/>
    <col min="5615" max="5615" width="11.85546875" style="393" bestFit="1" customWidth="1"/>
    <col min="5616" max="5616" width="15.42578125" style="393" customWidth="1"/>
    <col min="5617" max="5860" width="9.140625" style="393"/>
    <col min="5861" max="5861" width="14.5703125" style="393" customWidth="1"/>
    <col min="5862" max="5862" width="55" style="393" customWidth="1"/>
    <col min="5863" max="5863" width="15.85546875" style="393" customWidth="1"/>
    <col min="5864" max="5864" width="19.85546875" style="393" customWidth="1"/>
    <col min="5865" max="5865" width="19.140625" style="393" bestFit="1" customWidth="1"/>
    <col min="5866" max="5866" width="15.140625" style="393" customWidth="1"/>
    <col min="5867" max="5867" width="12.5703125" style="393" customWidth="1"/>
    <col min="5868" max="5868" width="15.7109375" style="393" customWidth="1"/>
    <col min="5869" max="5869" width="10.7109375" style="393" bestFit="1" customWidth="1"/>
    <col min="5870" max="5870" width="10.28515625" style="393" bestFit="1" customWidth="1"/>
    <col min="5871" max="5871" width="11.85546875" style="393" bestFit="1" customWidth="1"/>
    <col min="5872" max="5872" width="15.42578125" style="393" customWidth="1"/>
    <col min="5873" max="6116" width="9.140625" style="393"/>
    <col min="6117" max="6117" width="14.5703125" style="393" customWidth="1"/>
    <col min="6118" max="6118" width="55" style="393" customWidth="1"/>
    <col min="6119" max="6119" width="15.85546875" style="393" customWidth="1"/>
    <col min="6120" max="6120" width="19.85546875" style="393" customWidth="1"/>
    <col min="6121" max="6121" width="19.140625" style="393" bestFit="1" customWidth="1"/>
    <col min="6122" max="6122" width="15.140625" style="393" customWidth="1"/>
    <col min="6123" max="6123" width="12.5703125" style="393" customWidth="1"/>
    <col min="6124" max="6124" width="15.7109375" style="393" customWidth="1"/>
    <col min="6125" max="6125" width="10.7109375" style="393" bestFit="1" customWidth="1"/>
    <col min="6126" max="6126" width="10.28515625" style="393" bestFit="1" customWidth="1"/>
    <col min="6127" max="6127" width="11.85546875" style="393" bestFit="1" customWidth="1"/>
    <col min="6128" max="6128" width="15.42578125" style="393" customWidth="1"/>
    <col min="6129" max="6372" width="9.140625" style="393"/>
    <col min="6373" max="6373" width="14.5703125" style="393" customWidth="1"/>
    <col min="6374" max="6374" width="55" style="393" customWidth="1"/>
    <col min="6375" max="6375" width="15.85546875" style="393" customWidth="1"/>
    <col min="6376" max="6376" width="19.85546875" style="393" customWidth="1"/>
    <col min="6377" max="6377" width="19.140625" style="393" bestFit="1" customWidth="1"/>
    <col min="6378" max="6378" width="15.140625" style="393" customWidth="1"/>
    <col min="6379" max="6379" width="12.5703125" style="393" customWidth="1"/>
    <col min="6380" max="6380" width="15.7109375" style="393" customWidth="1"/>
    <col min="6381" max="6381" width="10.7109375" style="393" bestFit="1" customWidth="1"/>
    <col min="6382" max="6382" width="10.28515625" style="393" bestFit="1" customWidth="1"/>
    <col min="6383" max="6383" width="11.85546875" style="393" bestFit="1" customWidth="1"/>
    <col min="6384" max="6384" width="15.42578125" style="393" customWidth="1"/>
    <col min="6385" max="6628" width="9.140625" style="393"/>
    <col min="6629" max="6629" width="14.5703125" style="393" customWidth="1"/>
    <col min="6630" max="6630" width="55" style="393" customWidth="1"/>
    <col min="6631" max="6631" width="15.85546875" style="393" customWidth="1"/>
    <col min="6632" max="6632" width="19.85546875" style="393" customWidth="1"/>
    <col min="6633" max="6633" width="19.140625" style="393" bestFit="1" customWidth="1"/>
    <col min="6634" max="6634" width="15.140625" style="393" customWidth="1"/>
    <col min="6635" max="6635" width="12.5703125" style="393" customWidth="1"/>
    <col min="6636" max="6636" width="15.7109375" style="393" customWidth="1"/>
    <col min="6637" max="6637" width="10.7109375" style="393" bestFit="1" customWidth="1"/>
    <col min="6638" max="6638" width="10.28515625" style="393" bestFit="1" customWidth="1"/>
    <col min="6639" max="6639" width="11.85546875" style="393" bestFit="1" customWidth="1"/>
    <col min="6640" max="6640" width="15.42578125" style="393" customWidth="1"/>
    <col min="6641" max="6884" width="9.140625" style="393"/>
    <col min="6885" max="6885" width="14.5703125" style="393" customWidth="1"/>
    <col min="6886" max="6886" width="55" style="393" customWidth="1"/>
    <col min="6887" max="6887" width="15.85546875" style="393" customWidth="1"/>
    <col min="6888" max="6888" width="19.85546875" style="393" customWidth="1"/>
    <col min="6889" max="6889" width="19.140625" style="393" bestFit="1" customWidth="1"/>
    <col min="6890" max="6890" width="15.140625" style="393" customWidth="1"/>
    <col min="6891" max="6891" width="12.5703125" style="393" customWidth="1"/>
    <col min="6892" max="6892" width="15.7109375" style="393" customWidth="1"/>
    <col min="6893" max="6893" width="10.7109375" style="393" bestFit="1" customWidth="1"/>
    <col min="6894" max="6894" width="10.28515625" style="393" bestFit="1" customWidth="1"/>
    <col min="6895" max="6895" width="11.85546875" style="393" bestFit="1" customWidth="1"/>
    <col min="6896" max="6896" width="15.42578125" style="393" customWidth="1"/>
    <col min="6897" max="7140" width="9.140625" style="393"/>
    <col min="7141" max="7141" width="14.5703125" style="393" customWidth="1"/>
    <col min="7142" max="7142" width="55" style="393" customWidth="1"/>
    <col min="7143" max="7143" width="15.85546875" style="393" customWidth="1"/>
    <col min="7144" max="7144" width="19.85546875" style="393" customWidth="1"/>
    <col min="7145" max="7145" width="19.140625" style="393" bestFit="1" customWidth="1"/>
    <col min="7146" max="7146" width="15.140625" style="393" customWidth="1"/>
    <col min="7147" max="7147" width="12.5703125" style="393" customWidth="1"/>
    <col min="7148" max="7148" width="15.7109375" style="393" customWidth="1"/>
    <col min="7149" max="7149" width="10.7109375" style="393" bestFit="1" customWidth="1"/>
    <col min="7150" max="7150" width="10.28515625" style="393" bestFit="1" customWidth="1"/>
    <col min="7151" max="7151" width="11.85546875" style="393" bestFit="1" customWidth="1"/>
    <col min="7152" max="7152" width="15.42578125" style="393" customWidth="1"/>
    <col min="7153" max="7396" width="9.140625" style="393"/>
    <col min="7397" max="7397" width="14.5703125" style="393" customWidth="1"/>
    <col min="7398" max="7398" width="55" style="393" customWidth="1"/>
    <col min="7399" max="7399" width="15.85546875" style="393" customWidth="1"/>
    <col min="7400" max="7400" width="19.85546875" style="393" customWidth="1"/>
    <col min="7401" max="7401" width="19.140625" style="393" bestFit="1" customWidth="1"/>
    <col min="7402" max="7402" width="15.140625" style="393" customWidth="1"/>
    <col min="7403" max="7403" width="12.5703125" style="393" customWidth="1"/>
    <col min="7404" max="7404" width="15.7109375" style="393" customWidth="1"/>
    <col min="7405" max="7405" width="10.7109375" style="393" bestFit="1" customWidth="1"/>
    <col min="7406" max="7406" width="10.28515625" style="393" bestFit="1" customWidth="1"/>
    <col min="7407" max="7407" width="11.85546875" style="393" bestFit="1" customWidth="1"/>
    <col min="7408" max="7408" width="15.42578125" style="393" customWidth="1"/>
    <col min="7409" max="7652" width="9.140625" style="393"/>
    <col min="7653" max="7653" width="14.5703125" style="393" customWidth="1"/>
    <col min="7654" max="7654" width="55" style="393" customWidth="1"/>
    <col min="7655" max="7655" width="15.85546875" style="393" customWidth="1"/>
    <col min="7656" max="7656" width="19.85546875" style="393" customWidth="1"/>
    <col min="7657" max="7657" width="19.140625" style="393" bestFit="1" customWidth="1"/>
    <col min="7658" max="7658" width="15.140625" style="393" customWidth="1"/>
    <col min="7659" max="7659" width="12.5703125" style="393" customWidth="1"/>
    <col min="7660" max="7660" width="15.7109375" style="393" customWidth="1"/>
    <col min="7661" max="7661" width="10.7109375" style="393" bestFit="1" customWidth="1"/>
    <col min="7662" max="7662" width="10.28515625" style="393" bestFit="1" customWidth="1"/>
    <col min="7663" max="7663" width="11.85546875" style="393" bestFit="1" customWidth="1"/>
    <col min="7664" max="7664" width="15.42578125" style="393" customWidth="1"/>
    <col min="7665" max="7908" width="9.140625" style="393"/>
    <col min="7909" max="7909" width="14.5703125" style="393" customWidth="1"/>
    <col min="7910" max="7910" width="55" style="393" customWidth="1"/>
    <col min="7911" max="7911" width="15.85546875" style="393" customWidth="1"/>
    <col min="7912" max="7912" width="19.85546875" style="393" customWidth="1"/>
    <col min="7913" max="7913" width="19.140625" style="393" bestFit="1" customWidth="1"/>
    <col min="7914" max="7914" width="15.140625" style="393" customWidth="1"/>
    <col min="7915" max="7915" width="12.5703125" style="393" customWidth="1"/>
    <col min="7916" max="7916" width="15.7109375" style="393" customWidth="1"/>
    <col min="7917" max="7917" width="10.7109375" style="393" bestFit="1" customWidth="1"/>
    <col min="7918" max="7918" width="10.28515625" style="393" bestFit="1" customWidth="1"/>
    <col min="7919" max="7919" width="11.85546875" style="393" bestFit="1" customWidth="1"/>
    <col min="7920" max="7920" width="15.42578125" style="393" customWidth="1"/>
    <col min="7921" max="8164" width="9.140625" style="393"/>
    <col min="8165" max="8165" width="14.5703125" style="393" customWidth="1"/>
    <col min="8166" max="8166" width="55" style="393" customWidth="1"/>
    <col min="8167" max="8167" width="15.85546875" style="393" customWidth="1"/>
    <col min="8168" max="8168" width="19.85546875" style="393" customWidth="1"/>
    <col min="8169" max="8169" width="19.140625" style="393" bestFit="1" customWidth="1"/>
    <col min="8170" max="8170" width="15.140625" style="393" customWidth="1"/>
    <col min="8171" max="8171" width="12.5703125" style="393" customWidth="1"/>
    <col min="8172" max="8172" width="15.7109375" style="393" customWidth="1"/>
    <col min="8173" max="8173" width="10.7109375" style="393" bestFit="1" customWidth="1"/>
    <col min="8174" max="8174" width="10.28515625" style="393" bestFit="1" customWidth="1"/>
    <col min="8175" max="8175" width="11.85546875" style="393" bestFit="1" customWidth="1"/>
    <col min="8176" max="8176" width="15.42578125" style="393" customWidth="1"/>
    <col min="8177" max="8420" width="9.140625" style="393"/>
    <col min="8421" max="8421" width="14.5703125" style="393" customWidth="1"/>
    <col min="8422" max="8422" width="55" style="393" customWidth="1"/>
    <col min="8423" max="8423" width="15.85546875" style="393" customWidth="1"/>
    <col min="8424" max="8424" width="19.85546875" style="393" customWidth="1"/>
    <col min="8425" max="8425" width="19.140625" style="393" bestFit="1" customWidth="1"/>
    <col min="8426" max="8426" width="15.140625" style="393" customWidth="1"/>
    <col min="8427" max="8427" width="12.5703125" style="393" customWidth="1"/>
    <col min="8428" max="8428" width="15.7109375" style="393" customWidth="1"/>
    <col min="8429" max="8429" width="10.7109375" style="393" bestFit="1" customWidth="1"/>
    <col min="8430" max="8430" width="10.28515625" style="393" bestFit="1" customWidth="1"/>
    <col min="8431" max="8431" width="11.85546875" style="393" bestFit="1" customWidth="1"/>
    <col min="8432" max="8432" width="15.42578125" style="393" customWidth="1"/>
    <col min="8433" max="8676" width="9.140625" style="393"/>
    <col min="8677" max="8677" width="14.5703125" style="393" customWidth="1"/>
    <col min="8678" max="8678" width="55" style="393" customWidth="1"/>
    <col min="8679" max="8679" width="15.85546875" style="393" customWidth="1"/>
    <col min="8680" max="8680" width="19.85546875" style="393" customWidth="1"/>
    <col min="8681" max="8681" width="19.140625" style="393" bestFit="1" customWidth="1"/>
    <col min="8682" max="8682" width="15.140625" style="393" customWidth="1"/>
    <col min="8683" max="8683" width="12.5703125" style="393" customWidth="1"/>
    <col min="8684" max="8684" width="15.7109375" style="393" customWidth="1"/>
    <col min="8685" max="8685" width="10.7109375" style="393" bestFit="1" customWidth="1"/>
    <col min="8686" max="8686" width="10.28515625" style="393" bestFit="1" customWidth="1"/>
    <col min="8687" max="8687" width="11.85546875" style="393" bestFit="1" customWidth="1"/>
    <col min="8688" max="8688" width="15.42578125" style="393" customWidth="1"/>
    <col min="8689" max="8932" width="9.140625" style="393"/>
    <col min="8933" max="8933" width="14.5703125" style="393" customWidth="1"/>
    <col min="8934" max="8934" width="55" style="393" customWidth="1"/>
    <col min="8935" max="8935" width="15.85546875" style="393" customWidth="1"/>
    <col min="8936" max="8936" width="19.85546875" style="393" customWidth="1"/>
    <col min="8937" max="8937" width="19.140625" style="393" bestFit="1" customWidth="1"/>
    <col min="8938" max="8938" width="15.140625" style="393" customWidth="1"/>
    <col min="8939" max="8939" width="12.5703125" style="393" customWidth="1"/>
    <col min="8940" max="8940" width="15.7109375" style="393" customWidth="1"/>
    <col min="8941" max="8941" width="10.7109375" style="393" bestFit="1" customWidth="1"/>
    <col min="8942" max="8942" width="10.28515625" style="393" bestFit="1" customWidth="1"/>
    <col min="8943" max="8943" width="11.85546875" style="393" bestFit="1" customWidth="1"/>
    <col min="8944" max="8944" width="15.42578125" style="393" customWidth="1"/>
    <col min="8945" max="9188" width="9.140625" style="393"/>
    <col min="9189" max="9189" width="14.5703125" style="393" customWidth="1"/>
    <col min="9190" max="9190" width="55" style="393" customWidth="1"/>
    <col min="9191" max="9191" width="15.85546875" style="393" customWidth="1"/>
    <col min="9192" max="9192" width="19.85546875" style="393" customWidth="1"/>
    <col min="9193" max="9193" width="19.140625" style="393" bestFit="1" customWidth="1"/>
    <col min="9194" max="9194" width="15.140625" style="393" customWidth="1"/>
    <col min="9195" max="9195" width="12.5703125" style="393" customWidth="1"/>
    <col min="9196" max="9196" width="15.7109375" style="393" customWidth="1"/>
    <col min="9197" max="9197" width="10.7109375" style="393" bestFit="1" customWidth="1"/>
    <col min="9198" max="9198" width="10.28515625" style="393" bestFit="1" customWidth="1"/>
    <col min="9199" max="9199" width="11.85546875" style="393" bestFit="1" customWidth="1"/>
    <col min="9200" max="9200" width="15.42578125" style="393" customWidth="1"/>
    <col min="9201" max="9444" width="9.140625" style="393"/>
    <col min="9445" max="9445" width="14.5703125" style="393" customWidth="1"/>
    <col min="9446" max="9446" width="55" style="393" customWidth="1"/>
    <col min="9447" max="9447" width="15.85546875" style="393" customWidth="1"/>
    <col min="9448" max="9448" width="19.85546875" style="393" customWidth="1"/>
    <col min="9449" max="9449" width="19.140625" style="393" bestFit="1" customWidth="1"/>
    <col min="9450" max="9450" width="15.140625" style="393" customWidth="1"/>
    <col min="9451" max="9451" width="12.5703125" style="393" customWidth="1"/>
    <col min="9452" max="9452" width="15.7109375" style="393" customWidth="1"/>
    <col min="9453" max="9453" width="10.7109375" style="393" bestFit="1" customWidth="1"/>
    <col min="9454" max="9454" width="10.28515625" style="393" bestFit="1" customWidth="1"/>
    <col min="9455" max="9455" width="11.85546875" style="393" bestFit="1" customWidth="1"/>
    <col min="9456" max="9456" width="15.42578125" style="393" customWidth="1"/>
    <col min="9457" max="9700" width="9.140625" style="393"/>
    <col min="9701" max="9701" width="14.5703125" style="393" customWidth="1"/>
    <col min="9702" max="9702" width="55" style="393" customWidth="1"/>
    <col min="9703" max="9703" width="15.85546875" style="393" customWidth="1"/>
    <col min="9704" max="9704" width="19.85546875" style="393" customWidth="1"/>
    <col min="9705" max="9705" width="19.140625" style="393" bestFit="1" customWidth="1"/>
    <col min="9706" max="9706" width="15.140625" style="393" customWidth="1"/>
    <col min="9707" max="9707" width="12.5703125" style="393" customWidth="1"/>
    <col min="9708" max="9708" width="15.7109375" style="393" customWidth="1"/>
    <col min="9709" max="9709" width="10.7109375" style="393" bestFit="1" customWidth="1"/>
    <col min="9710" max="9710" width="10.28515625" style="393" bestFit="1" customWidth="1"/>
    <col min="9711" max="9711" width="11.85546875" style="393" bestFit="1" customWidth="1"/>
    <col min="9712" max="9712" width="15.42578125" style="393" customWidth="1"/>
    <col min="9713" max="9956" width="9.140625" style="393"/>
    <col min="9957" max="9957" width="14.5703125" style="393" customWidth="1"/>
    <col min="9958" max="9958" width="55" style="393" customWidth="1"/>
    <col min="9959" max="9959" width="15.85546875" style="393" customWidth="1"/>
    <col min="9960" max="9960" width="19.85546875" style="393" customWidth="1"/>
    <col min="9961" max="9961" width="19.140625" style="393" bestFit="1" customWidth="1"/>
    <col min="9962" max="9962" width="15.140625" style="393" customWidth="1"/>
    <col min="9963" max="9963" width="12.5703125" style="393" customWidth="1"/>
    <col min="9964" max="9964" width="15.7109375" style="393" customWidth="1"/>
    <col min="9965" max="9965" width="10.7109375" style="393" bestFit="1" customWidth="1"/>
    <col min="9966" max="9966" width="10.28515625" style="393" bestFit="1" customWidth="1"/>
    <col min="9967" max="9967" width="11.85546875" style="393" bestFit="1" customWidth="1"/>
    <col min="9968" max="9968" width="15.42578125" style="393" customWidth="1"/>
    <col min="9969" max="10212" width="9.140625" style="393"/>
    <col min="10213" max="10213" width="14.5703125" style="393" customWidth="1"/>
    <col min="10214" max="10214" width="55" style="393" customWidth="1"/>
    <col min="10215" max="10215" width="15.85546875" style="393" customWidth="1"/>
    <col min="10216" max="10216" width="19.85546875" style="393" customWidth="1"/>
    <col min="10217" max="10217" width="19.140625" style="393" bestFit="1" customWidth="1"/>
    <col min="10218" max="10218" width="15.140625" style="393" customWidth="1"/>
    <col min="10219" max="10219" width="12.5703125" style="393" customWidth="1"/>
    <col min="10220" max="10220" width="15.7109375" style="393" customWidth="1"/>
    <col min="10221" max="10221" width="10.7109375" style="393" bestFit="1" customWidth="1"/>
    <col min="10222" max="10222" width="10.28515625" style="393" bestFit="1" customWidth="1"/>
    <col min="10223" max="10223" width="11.85546875" style="393" bestFit="1" customWidth="1"/>
    <col min="10224" max="10224" width="15.42578125" style="393" customWidth="1"/>
    <col min="10225" max="10468" width="9.140625" style="393"/>
    <col min="10469" max="10469" width="14.5703125" style="393" customWidth="1"/>
    <col min="10470" max="10470" width="55" style="393" customWidth="1"/>
    <col min="10471" max="10471" width="15.85546875" style="393" customWidth="1"/>
    <col min="10472" max="10472" width="19.85546875" style="393" customWidth="1"/>
    <col min="10473" max="10473" width="19.140625" style="393" bestFit="1" customWidth="1"/>
    <col min="10474" max="10474" width="15.140625" style="393" customWidth="1"/>
    <col min="10475" max="10475" width="12.5703125" style="393" customWidth="1"/>
    <col min="10476" max="10476" width="15.7109375" style="393" customWidth="1"/>
    <col min="10477" max="10477" width="10.7109375" style="393" bestFit="1" customWidth="1"/>
    <col min="10478" max="10478" width="10.28515625" style="393" bestFit="1" customWidth="1"/>
    <col min="10479" max="10479" width="11.85546875" style="393" bestFit="1" customWidth="1"/>
    <col min="10480" max="10480" width="15.42578125" style="393" customWidth="1"/>
    <col min="10481" max="10724" width="9.140625" style="393"/>
    <col min="10725" max="10725" width="14.5703125" style="393" customWidth="1"/>
    <col min="10726" max="10726" width="55" style="393" customWidth="1"/>
    <col min="10727" max="10727" width="15.85546875" style="393" customWidth="1"/>
    <col min="10728" max="10728" width="19.85546875" style="393" customWidth="1"/>
    <col min="10729" max="10729" width="19.140625" style="393" bestFit="1" customWidth="1"/>
    <col min="10730" max="10730" width="15.140625" style="393" customWidth="1"/>
    <col min="10731" max="10731" width="12.5703125" style="393" customWidth="1"/>
    <col min="10732" max="10732" width="15.7109375" style="393" customWidth="1"/>
    <col min="10733" max="10733" width="10.7109375" style="393" bestFit="1" customWidth="1"/>
    <col min="10734" max="10734" width="10.28515625" style="393" bestFit="1" customWidth="1"/>
    <col min="10735" max="10735" width="11.85546875" style="393" bestFit="1" customWidth="1"/>
    <col min="10736" max="10736" width="15.42578125" style="393" customWidth="1"/>
    <col min="10737" max="10980" width="9.140625" style="393"/>
    <col min="10981" max="10981" width="14.5703125" style="393" customWidth="1"/>
    <col min="10982" max="10982" width="55" style="393" customWidth="1"/>
    <col min="10983" max="10983" width="15.85546875" style="393" customWidth="1"/>
    <col min="10984" max="10984" width="19.85546875" style="393" customWidth="1"/>
    <col min="10985" max="10985" width="19.140625" style="393" bestFit="1" customWidth="1"/>
    <col min="10986" max="10986" width="15.140625" style="393" customWidth="1"/>
    <col min="10987" max="10987" width="12.5703125" style="393" customWidth="1"/>
    <col min="10988" max="10988" width="15.7109375" style="393" customWidth="1"/>
    <col min="10989" max="10989" width="10.7109375" style="393" bestFit="1" customWidth="1"/>
    <col min="10990" max="10990" width="10.28515625" style="393" bestFit="1" customWidth="1"/>
    <col min="10991" max="10991" width="11.85546875" style="393" bestFit="1" customWidth="1"/>
    <col min="10992" max="10992" width="15.42578125" style="393" customWidth="1"/>
    <col min="10993" max="11236" width="9.140625" style="393"/>
    <col min="11237" max="11237" width="14.5703125" style="393" customWidth="1"/>
    <col min="11238" max="11238" width="55" style="393" customWidth="1"/>
    <col min="11239" max="11239" width="15.85546875" style="393" customWidth="1"/>
    <col min="11240" max="11240" width="19.85546875" style="393" customWidth="1"/>
    <col min="11241" max="11241" width="19.140625" style="393" bestFit="1" customWidth="1"/>
    <col min="11242" max="11242" width="15.140625" style="393" customWidth="1"/>
    <col min="11243" max="11243" width="12.5703125" style="393" customWidth="1"/>
    <col min="11244" max="11244" width="15.7109375" style="393" customWidth="1"/>
    <col min="11245" max="11245" width="10.7109375" style="393" bestFit="1" customWidth="1"/>
    <col min="11246" max="11246" width="10.28515625" style="393" bestFit="1" customWidth="1"/>
    <col min="11247" max="11247" width="11.85546875" style="393" bestFit="1" customWidth="1"/>
    <col min="11248" max="11248" width="15.42578125" style="393" customWidth="1"/>
    <col min="11249" max="11492" width="9.140625" style="393"/>
    <col min="11493" max="11493" width="14.5703125" style="393" customWidth="1"/>
    <col min="11494" max="11494" width="55" style="393" customWidth="1"/>
    <col min="11495" max="11495" width="15.85546875" style="393" customWidth="1"/>
    <col min="11496" max="11496" width="19.85546875" style="393" customWidth="1"/>
    <col min="11497" max="11497" width="19.140625" style="393" bestFit="1" customWidth="1"/>
    <col min="11498" max="11498" width="15.140625" style="393" customWidth="1"/>
    <col min="11499" max="11499" width="12.5703125" style="393" customWidth="1"/>
    <col min="11500" max="11500" width="15.7109375" style="393" customWidth="1"/>
    <col min="11501" max="11501" width="10.7109375" style="393" bestFit="1" customWidth="1"/>
    <col min="11502" max="11502" width="10.28515625" style="393" bestFit="1" customWidth="1"/>
    <col min="11503" max="11503" width="11.85546875" style="393" bestFit="1" customWidth="1"/>
    <col min="11504" max="11504" width="15.42578125" style="393" customWidth="1"/>
    <col min="11505" max="11748" width="9.140625" style="393"/>
    <col min="11749" max="11749" width="14.5703125" style="393" customWidth="1"/>
    <col min="11750" max="11750" width="55" style="393" customWidth="1"/>
    <col min="11751" max="11751" width="15.85546875" style="393" customWidth="1"/>
    <col min="11752" max="11752" width="19.85546875" style="393" customWidth="1"/>
    <col min="11753" max="11753" width="19.140625" style="393" bestFit="1" customWidth="1"/>
    <col min="11754" max="11754" width="15.140625" style="393" customWidth="1"/>
    <col min="11755" max="11755" width="12.5703125" style="393" customWidth="1"/>
    <col min="11756" max="11756" width="15.7109375" style="393" customWidth="1"/>
    <col min="11757" max="11757" width="10.7109375" style="393" bestFit="1" customWidth="1"/>
    <col min="11758" max="11758" width="10.28515625" style="393" bestFit="1" customWidth="1"/>
    <col min="11759" max="11759" width="11.85546875" style="393" bestFit="1" customWidth="1"/>
    <col min="11760" max="11760" width="15.42578125" style="393" customWidth="1"/>
    <col min="11761" max="12004" width="9.140625" style="393"/>
    <col min="12005" max="12005" width="14.5703125" style="393" customWidth="1"/>
    <col min="12006" max="12006" width="55" style="393" customWidth="1"/>
    <col min="12007" max="12007" width="15.85546875" style="393" customWidth="1"/>
    <col min="12008" max="12008" width="19.85546875" style="393" customWidth="1"/>
    <col min="12009" max="12009" width="19.140625" style="393" bestFit="1" customWidth="1"/>
    <col min="12010" max="12010" width="15.140625" style="393" customWidth="1"/>
    <col min="12011" max="12011" width="12.5703125" style="393" customWidth="1"/>
    <col min="12012" max="12012" width="15.7109375" style="393" customWidth="1"/>
    <col min="12013" max="12013" width="10.7109375" style="393" bestFit="1" customWidth="1"/>
    <col min="12014" max="12014" width="10.28515625" style="393" bestFit="1" customWidth="1"/>
    <col min="12015" max="12015" width="11.85546875" style="393" bestFit="1" customWidth="1"/>
    <col min="12016" max="12016" width="15.42578125" style="393" customWidth="1"/>
    <col min="12017" max="12260" width="9.140625" style="393"/>
    <col min="12261" max="12261" width="14.5703125" style="393" customWidth="1"/>
    <col min="12262" max="12262" width="55" style="393" customWidth="1"/>
    <col min="12263" max="12263" width="15.85546875" style="393" customWidth="1"/>
    <col min="12264" max="12264" width="19.85546875" style="393" customWidth="1"/>
    <col min="12265" max="12265" width="19.140625" style="393" bestFit="1" customWidth="1"/>
    <col min="12266" max="12266" width="15.140625" style="393" customWidth="1"/>
    <col min="12267" max="12267" width="12.5703125" style="393" customWidth="1"/>
    <col min="12268" max="12268" width="15.7109375" style="393" customWidth="1"/>
    <col min="12269" max="12269" width="10.7109375" style="393" bestFit="1" customWidth="1"/>
    <col min="12270" max="12270" width="10.28515625" style="393" bestFit="1" customWidth="1"/>
    <col min="12271" max="12271" width="11.85546875" style="393" bestFit="1" customWidth="1"/>
    <col min="12272" max="12272" width="15.42578125" style="393" customWidth="1"/>
    <col min="12273" max="12516" width="9.140625" style="393"/>
    <col min="12517" max="12517" width="14.5703125" style="393" customWidth="1"/>
    <col min="12518" max="12518" width="55" style="393" customWidth="1"/>
    <col min="12519" max="12519" width="15.85546875" style="393" customWidth="1"/>
    <col min="12520" max="12520" width="19.85546875" style="393" customWidth="1"/>
    <col min="12521" max="12521" width="19.140625" style="393" bestFit="1" customWidth="1"/>
    <col min="12522" max="12522" width="15.140625" style="393" customWidth="1"/>
    <col min="12523" max="12523" width="12.5703125" style="393" customWidth="1"/>
    <col min="12524" max="12524" width="15.7109375" style="393" customWidth="1"/>
    <col min="12525" max="12525" width="10.7109375" style="393" bestFit="1" customWidth="1"/>
    <col min="12526" max="12526" width="10.28515625" style="393" bestFit="1" customWidth="1"/>
    <col min="12527" max="12527" width="11.85546875" style="393" bestFit="1" customWidth="1"/>
    <col min="12528" max="12528" width="15.42578125" style="393" customWidth="1"/>
    <col min="12529" max="12772" width="9.140625" style="393"/>
    <col min="12773" max="12773" width="14.5703125" style="393" customWidth="1"/>
    <col min="12774" max="12774" width="55" style="393" customWidth="1"/>
    <col min="12775" max="12775" width="15.85546875" style="393" customWidth="1"/>
    <col min="12776" max="12776" width="19.85546875" style="393" customWidth="1"/>
    <col min="12777" max="12777" width="19.140625" style="393" bestFit="1" customWidth="1"/>
    <col min="12778" max="12778" width="15.140625" style="393" customWidth="1"/>
    <col min="12779" max="12779" width="12.5703125" style="393" customWidth="1"/>
    <col min="12780" max="12780" width="15.7109375" style="393" customWidth="1"/>
    <col min="12781" max="12781" width="10.7109375" style="393" bestFit="1" customWidth="1"/>
    <col min="12782" max="12782" width="10.28515625" style="393" bestFit="1" customWidth="1"/>
    <col min="12783" max="12783" width="11.85546875" style="393" bestFit="1" customWidth="1"/>
    <col min="12784" max="12784" width="15.42578125" style="393" customWidth="1"/>
    <col min="12785" max="13028" width="9.140625" style="393"/>
    <col min="13029" max="13029" width="14.5703125" style="393" customWidth="1"/>
    <col min="13030" max="13030" width="55" style="393" customWidth="1"/>
    <col min="13031" max="13031" width="15.85546875" style="393" customWidth="1"/>
    <col min="13032" max="13032" width="19.85546875" style="393" customWidth="1"/>
    <col min="13033" max="13033" width="19.140625" style="393" bestFit="1" customWidth="1"/>
    <col min="13034" max="13034" width="15.140625" style="393" customWidth="1"/>
    <col min="13035" max="13035" width="12.5703125" style="393" customWidth="1"/>
    <col min="13036" max="13036" width="15.7109375" style="393" customWidth="1"/>
    <col min="13037" max="13037" width="10.7109375" style="393" bestFit="1" customWidth="1"/>
    <col min="13038" max="13038" width="10.28515625" style="393" bestFit="1" customWidth="1"/>
    <col min="13039" max="13039" width="11.85546875" style="393" bestFit="1" customWidth="1"/>
    <col min="13040" max="13040" width="15.42578125" style="393" customWidth="1"/>
    <col min="13041" max="13284" width="9.140625" style="393"/>
    <col min="13285" max="13285" width="14.5703125" style="393" customWidth="1"/>
    <col min="13286" max="13286" width="55" style="393" customWidth="1"/>
    <col min="13287" max="13287" width="15.85546875" style="393" customWidth="1"/>
    <col min="13288" max="13288" width="19.85546875" style="393" customWidth="1"/>
    <col min="13289" max="13289" width="19.140625" style="393" bestFit="1" customWidth="1"/>
    <col min="13290" max="13290" width="15.140625" style="393" customWidth="1"/>
    <col min="13291" max="13291" width="12.5703125" style="393" customWidth="1"/>
    <col min="13292" max="13292" width="15.7109375" style="393" customWidth="1"/>
    <col min="13293" max="13293" width="10.7109375" style="393" bestFit="1" customWidth="1"/>
    <col min="13294" max="13294" width="10.28515625" style="393" bestFit="1" customWidth="1"/>
    <col min="13295" max="13295" width="11.85546875" style="393" bestFit="1" customWidth="1"/>
    <col min="13296" max="13296" width="15.42578125" style="393" customWidth="1"/>
    <col min="13297" max="13540" width="9.140625" style="393"/>
    <col min="13541" max="13541" width="14.5703125" style="393" customWidth="1"/>
    <col min="13542" max="13542" width="55" style="393" customWidth="1"/>
    <col min="13543" max="13543" width="15.85546875" style="393" customWidth="1"/>
    <col min="13544" max="13544" width="19.85546875" style="393" customWidth="1"/>
    <col min="13545" max="13545" width="19.140625" style="393" bestFit="1" customWidth="1"/>
    <col min="13546" max="13546" width="15.140625" style="393" customWidth="1"/>
    <col min="13547" max="13547" width="12.5703125" style="393" customWidth="1"/>
    <col min="13548" max="13548" width="15.7109375" style="393" customWidth="1"/>
    <col min="13549" max="13549" width="10.7109375" style="393" bestFit="1" customWidth="1"/>
    <col min="13550" max="13550" width="10.28515625" style="393" bestFit="1" customWidth="1"/>
    <col min="13551" max="13551" width="11.85546875" style="393" bestFit="1" customWidth="1"/>
    <col min="13552" max="13552" width="15.42578125" style="393" customWidth="1"/>
    <col min="13553" max="13796" width="9.140625" style="393"/>
    <col min="13797" max="13797" width="14.5703125" style="393" customWidth="1"/>
    <col min="13798" max="13798" width="55" style="393" customWidth="1"/>
    <col min="13799" max="13799" width="15.85546875" style="393" customWidth="1"/>
    <col min="13800" max="13800" width="19.85546875" style="393" customWidth="1"/>
    <col min="13801" max="13801" width="19.140625" style="393" bestFit="1" customWidth="1"/>
    <col min="13802" max="13802" width="15.140625" style="393" customWidth="1"/>
    <col min="13803" max="13803" width="12.5703125" style="393" customWidth="1"/>
    <col min="13804" max="13804" width="15.7109375" style="393" customWidth="1"/>
    <col min="13805" max="13805" width="10.7109375" style="393" bestFit="1" customWidth="1"/>
    <col min="13806" max="13806" width="10.28515625" style="393" bestFit="1" customWidth="1"/>
    <col min="13807" max="13807" width="11.85546875" style="393" bestFit="1" customWidth="1"/>
    <col min="13808" max="13808" width="15.42578125" style="393" customWidth="1"/>
    <col min="13809" max="14052" width="9.140625" style="393"/>
    <col min="14053" max="14053" width="14.5703125" style="393" customWidth="1"/>
    <col min="14054" max="14054" width="55" style="393" customWidth="1"/>
    <col min="14055" max="14055" width="15.85546875" style="393" customWidth="1"/>
    <col min="14056" max="14056" width="19.85546875" style="393" customWidth="1"/>
    <col min="14057" max="14057" width="19.140625" style="393" bestFit="1" customWidth="1"/>
    <col min="14058" max="14058" width="15.140625" style="393" customWidth="1"/>
    <col min="14059" max="14059" width="12.5703125" style="393" customWidth="1"/>
    <col min="14060" max="14060" width="15.7109375" style="393" customWidth="1"/>
    <col min="14061" max="14061" width="10.7109375" style="393" bestFit="1" customWidth="1"/>
    <col min="14062" max="14062" width="10.28515625" style="393" bestFit="1" customWidth="1"/>
    <col min="14063" max="14063" width="11.85546875" style="393" bestFit="1" customWidth="1"/>
    <col min="14064" max="14064" width="15.42578125" style="393" customWidth="1"/>
    <col min="14065" max="14308" width="9.140625" style="393"/>
    <col min="14309" max="14309" width="14.5703125" style="393" customWidth="1"/>
    <col min="14310" max="14310" width="55" style="393" customWidth="1"/>
    <col min="14311" max="14311" width="15.85546875" style="393" customWidth="1"/>
    <col min="14312" max="14312" width="19.85546875" style="393" customWidth="1"/>
    <col min="14313" max="14313" width="19.140625" style="393" bestFit="1" customWidth="1"/>
    <col min="14314" max="14314" width="15.140625" style="393" customWidth="1"/>
    <col min="14315" max="14315" width="12.5703125" style="393" customWidth="1"/>
    <col min="14316" max="14316" width="15.7109375" style="393" customWidth="1"/>
    <col min="14317" max="14317" width="10.7109375" style="393" bestFit="1" customWidth="1"/>
    <col min="14318" max="14318" width="10.28515625" style="393" bestFit="1" customWidth="1"/>
    <col min="14319" max="14319" width="11.85546875" style="393" bestFit="1" customWidth="1"/>
    <col min="14320" max="14320" width="15.42578125" style="393" customWidth="1"/>
    <col min="14321" max="14564" width="9.140625" style="393"/>
    <col min="14565" max="14565" width="14.5703125" style="393" customWidth="1"/>
    <col min="14566" max="14566" width="55" style="393" customWidth="1"/>
    <col min="14567" max="14567" width="15.85546875" style="393" customWidth="1"/>
    <col min="14568" max="14568" width="19.85546875" style="393" customWidth="1"/>
    <col min="14569" max="14569" width="19.140625" style="393" bestFit="1" customWidth="1"/>
    <col min="14570" max="14570" width="15.140625" style="393" customWidth="1"/>
    <col min="14571" max="14571" width="12.5703125" style="393" customWidth="1"/>
    <col min="14572" max="14572" width="15.7109375" style="393" customWidth="1"/>
    <col min="14573" max="14573" width="10.7109375" style="393" bestFit="1" customWidth="1"/>
    <col min="14574" max="14574" width="10.28515625" style="393" bestFit="1" customWidth="1"/>
    <col min="14575" max="14575" width="11.85546875" style="393" bestFit="1" customWidth="1"/>
    <col min="14576" max="14576" width="15.42578125" style="393" customWidth="1"/>
    <col min="14577" max="14820" width="9.140625" style="393"/>
    <col min="14821" max="14821" width="14.5703125" style="393" customWidth="1"/>
    <col min="14822" max="14822" width="55" style="393" customWidth="1"/>
    <col min="14823" max="14823" width="15.85546875" style="393" customWidth="1"/>
    <col min="14824" max="14824" width="19.85546875" style="393" customWidth="1"/>
    <col min="14825" max="14825" width="19.140625" style="393" bestFit="1" customWidth="1"/>
    <col min="14826" max="14826" width="15.140625" style="393" customWidth="1"/>
    <col min="14827" max="14827" width="12.5703125" style="393" customWidth="1"/>
    <col min="14828" max="14828" width="15.7109375" style="393" customWidth="1"/>
    <col min="14829" max="14829" width="10.7109375" style="393" bestFit="1" customWidth="1"/>
    <col min="14830" max="14830" width="10.28515625" style="393" bestFit="1" customWidth="1"/>
    <col min="14831" max="14831" width="11.85546875" style="393" bestFit="1" customWidth="1"/>
    <col min="14832" max="14832" width="15.42578125" style="393" customWidth="1"/>
    <col min="14833" max="15076" width="9.140625" style="393"/>
    <col min="15077" max="15077" width="14.5703125" style="393" customWidth="1"/>
    <col min="15078" max="15078" width="55" style="393" customWidth="1"/>
    <col min="15079" max="15079" width="15.85546875" style="393" customWidth="1"/>
    <col min="15080" max="15080" width="19.85546875" style="393" customWidth="1"/>
    <col min="15081" max="15081" width="19.140625" style="393" bestFit="1" customWidth="1"/>
    <col min="15082" max="15082" width="15.140625" style="393" customWidth="1"/>
    <col min="15083" max="15083" width="12.5703125" style="393" customWidth="1"/>
    <col min="15084" max="15084" width="15.7109375" style="393" customWidth="1"/>
    <col min="15085" max="15085" width="10.7109375" style="393" bestFit="1" customWidth="1"/>
    <col min="15086" max="15086" width="10.28515625" style="393" bestFit="1" customWidth="1"/>
    <col min="15087" max="15087" width="11.85546875" style="393" bestFit="1" customWidth="1"/>
    <col min="15088" max="15088" width="15.42578125" style="393" customWidth="1"/>
    <col min="15089" max="15332" width="9.140625" style="393"/>
    <col min="15333" max="15333" width="14.5703125" style="393" customWidth="1"/>
    <col min="15334" max="15334" width="55" style="393" customWidth="1"/>
    <col min="15335" max="15335" width="15.85546875" style="393" customWidth="1"/>
    <col min="15336" max="15336" width="19.85546875" style="393" customWidth="1"/>
    <col min="15337" max="15337" width="19.140625" style="393" bestFit="1" customWidth="1"/>
    <col min="15338" max="15338" width="15.140625" style="393" customWidth="1"/>
    <col min="15339" max="15339" width="12.5703125" style="393" customWidth="1"/>
    <col min="15340" max="15340" width="15.7109375" style="393" customWidth="1"/>
    <col min="15341" max="15341" width="10.7109375" style="393" bestFit="1" customWidth="1"/>
    <col min="15342" max="15342" width="10.28515625" style="393" bestFit="1" customWidth="1"/>
    <col min="15343" max="15343" width="11.85546875" style="393" bestFit="1" customWidth="1"/>
    <col min="15344" max="15344" width="15.42578125" style="393" customWidth="1"/>
    <col min="15345" max="15588" width="9.140625" style="393"/>
    <col min="15589" max="15589" width="14.5703125" style="393" customWidth="1"/>
    <col min="15590" max="15590" width="55" style="393" customWidth="1"/>
    <col min="15591" max="15591" width="15.85546875" style="393" customWidth="1"/>
    <col min="15592" max="15592" width="19.85546875" style="393" customWidth="1"/>
    <col min="15593" max="15593" width="19.140625" style="393" bestFit="1" customWidth="1"/>
    <col min="15594" max="15594" width="15.140625" style="393" customWidth="1"/>
    <col min="15595" max="15595" width="12.5703125" style="393" customWidth="1"/>
    <col min="15596" max="15596" width="15.7109375" style="393" customWidth="1"/>
    <col min="15597" max="15597" width="10.7109375" style="393" bestFit="1" customWidth="1"/>
    <col min="15598" max="15598" width="10.28515625" style="393" bestFit="1" customWidth="1"/>
    <col min="15599" max="15599" width="11.85546875" style="393" bestFit="1" customWidth="1"/>
    <col min="15600" max="15600" width="15.42578125" style="393" customWidth="1"/>
    <col min="15601" max="15844" width="9.140625" style="393"/>
    <col min="15845" max="15845" width="14.5703125" style="393" customWidth="1"/>
    <col min="15846" max="15846" width="55" style="393" customWidth="1"/>
    <col min="15847" max="15847" width="15.85546875" style="393" customWidth="1"/>
    <col min="15848" max="15848" width="19.85546875" style="393" customWidth="1"/>
    <col min="15849" max="15849" width="19.140625" style="393" bestFit="1" customWidth="1"/>
    <col min="15850" max="15850" width="15.140625" style="393" customWidth="1"/>
    <col min="15851" max="15851" width="12.5703125" style="393" customWidth="1"/>
    <col min="15852" max="15852" width="15.7109375" style="393" customWidth="1"/>
    <col min="15853" max="15853" width="10.7109375" style="393" bestFit="1" customWidth="1"/>
    <col min="15854" max="15854" width="10.28515625" style="393" bestFit="1" customWidth="1"/>
    <col min="15855" max="15855" width="11.85546875" style="393" bestFit="1" customWidth="1"/>
    <col min="15856" max="15856" width="15.42578125" style="393" customWidth="1"/>
    <col min="15857" max="16100" width="9.140625" style="393"/>
    <col min="16101" max="16101" width="14.5703125" style="393" customWidth="1"/>
    <col min="16102" max="16102" width="55" style="393" customWidth="1"/>
    <col min="16103" max="16103" width="15.85546875" style="393" customWidth="1"/>
    <col min="16104" max="16104" width="19.85546875" style="393" customWidth="1"/>
    <col min="16105" max="16105" width="19.140625" style="393" bestFit="1" customWidth="1"/>
    <col min="16106" max="16106" width="15.140625" style="393" customWidth="1"/>
    <col min="16107" max="16107" width="12.5703125" style="393" customWidth="1"/>
    <col min="16108" max="16108" width="15.7109375" style="393" customWidth="1"/>
    <col min="16109" max="16109" width="10.7109375" style="393" bestFit="1" customWidth="1"/>
    <col min="16110" max="16110" width="10.28515625" style="393" bestFit="1" customWidth="1"/>
    <col min="16111" max="16111" width="11.85546875" style="393" bestFit="1" customWidth="1"/>
    <col min="16112" max="16112" width="15.42578125" style="393" customWidth="1"/>
    <col min="16113" max="16384" width="9.140625" style="393"/>
  </cols>
  <sheetData>
    <row r="1" spans="1:7" s="375" customFormat="1" x14ac:dyDescent="0.25">
      <c r="A1" s="586" t="s">
        <v>316</v>
      </c>
      <c r="B1" s="586"/>
      <c r="C1" s="586"/>
      <c r="D1" s="586"/>
      <c r="E1" s="586"/>
      <c r="F1" s="586"/>
      <c r="G1" s="586"/>
    </row>
    <row r="2" spans="1:7" s="375" customFormat="1" x14ac:dyDescent="0.25">
      <c r="A2" s="586" t="s">
        <v>317</v>
      </c>
      <c r="B2" s="586"/>
      <c r="C2" s="586"/>
      <c r="D2" s="586"/>
      <c r="E2" s="586"/>
      <c r="F2" s="586"/>
      <c r="G2" s="586"/>
    </row>
    <row r="3" spans="1:7" s="378" customFormat="1" x14ac:dyDescent="0.25">
      <c r="A3" s="376"/>
      <c r="B3" s="376"/>
      <c r="C3" s="376"/>
      <c r="D3" s="376"/>
      <c r="E3" s="377"/>
      <c r="F3" s="412"/>
      <c r="G3" s="412"/>
    </row>
    <row r="4" spans="1:7" s="378" customFormat="1" ht="31.5" x14ac:dyDescent="0.25">
      <c r="A4" s="379" t="s">
        <v>318</v>
      </c>
      <c r="B4" s="379" t="s">
        <v>319</v>
      </c>
      <c r="C4" s="120" t="s">
        <v>556</v>
      </c>
      <c r="D4" s="120" t="s">
        <v>560</v>
      </c>
      <c r="E4" s="320" t="s">
        <v>558</v>
      </c>
      <c r="F4" s="113" t="s">
        <v>559</v>
      </c>
      <c r="G4" s="114" t="s">
        <v>557</v>
      </c>
    </row>
    <row r="5" spans="1:7" s="381" customFormat="1" x14ac:dyDescent="0.25">
      <c r="A5" s="413" t="s">
        <v>320</v>
      </c>
      <c r="B5" s="414" t="s">
        <v>321</v>
      </c>
      <c r="C5" s="380" t="e">
        <f>C7+C216+C349+C392+C411+#REF!+#REF!+#REF!+#REF!+C440+#REF!+#REF!+#REF!+C503+#REF!+C522+#REF!+C559+#REF!+#REF!+#REF!+C596+C636+C675+C718</f>
        <v>#REF!</v>
      </c>
      <c r="D5" s="380" t="e">
        <f>D7+D216+D349+D392+D411+#REF!+#REF!+#REF!+#REF!+D440+#REF!+#REF!+#REF!+D503+#REF!+D522+#REF!+D559+#REF!+#REF!+#REF!+D596+D636+D675+D718</f>
        <v>#REF!</v>
      </c>
      <c r="E5" s="380">
        <f>E7+E216+E349+E392+E411+E433+E440+E503+E552+E522+E559+E596+E636+E675+E718</f>
        <v>27155403.23</v>
      </c>
      <c r="F5" s="380">
        <f t="shared" ref="F5:G5" si="0">F7+F216+F349+F392+F411+F433+F440+F503+F552+F522+F559+F596+F636+F675+F718</f>
        <v>27423628.59</v>
      </c>
      <c r="G5" s="380">
        <f t="shared" si="0"/>
        <v>27667151.609999996</v>
      </c>
    </row>
    <row r="6" spans="1:7" s="378" customFormat="1" x14ac:dyDescent="0.25">
      <c r="A6" s="382" t="s">
        <v>322</v>
      </c>
      <c r="B6" s="383" t="s">
        <v>323</v>
      </c>
      <c r="C6" s="384" t="e">
        <f>C7+C216+C349+C392+C411+#REF!+#REF!+#REF!+#REF!</f>
        <v>#REF!</v>
      </c>
      <c r="D6" s="384" t="e">
        <f>D7+D216+D349+D392+D411+#REF!+#REF!+#REF!+#REF!</f>
        <v>#REF!</v>
      </c>
      <c r="E6" s="384">
        <f>E7+E216+E349+E392+E411+E433</f>
        <v>25447187.990000002</v>
      </c>
      <c r="F6" s="384">
        <f t="shared" ref="F6:G6" si="1">F7+F216+F349+F392+F411+F433</f>
        <v>25798213.350000001</v>
      </c>
      <c r="G6" s="384">
        <f t="shared" si="1"/>
        <v>26141111.709999997</v>
      </c>
    </row>
    <row r="7" spans="1:7" s="388" customFormat="1" x14ac:dyDescent="0.25">
      <c r="A7" s="385">
        <v>43</v>
      </c>
      <c r="B7" s="386" t="s">
        <v>56</v>
      </c>
      <c r="C7" s="387">
        <f>C8+C181</f>
        <v>0</v>
      </c>
      <c r="D7" s="387">
        <f>D8+D181</f>
        <v>0</v>
      </c>
      <c r="E7" s="387">
        <f>E8+E181</f>
        <v>21410157.050000001</v>
      </c>
      <c r="F7" s="387">
        <f>F8+F181</f>
        <v>21715388.41</v>
      </c>
      <c r="G7" s="387">
        <f>G8+G181</f>
        <v>22025967.890000001</v>
      </c>
    </row>
    <row r="8" spans="1:7" s="392" customFormat="1" x14ac:dyDescent="0.25">
      <c r="A8" s="389">
        <v>3</v>
      </c>
      <c r="B8" s="390" t="s">
        <v>87</v>
      </c>
      <c r="C8" s="391">
        <f>C9+C32+C149+C162+C165+C170</f>
        <v>0</v>
      </c>
      <c r="D8" s="391">
        <f>D9+D32+D149+D162+D165+D170</f>
        <v>0</v>
      </c>
      <c r="E8" s="391">
        <f>E9+E32+E149+E162+E165+E170</f>
        <v>21324784.77</v>
      </c>
      <c r="F8" s="391">
        <f>F9+F32+F149+F162+F165+F170</f>
        <v>21627066.129999999</v>
      </c>
      <c r="G8" s="391">
        <f>G9+G32+G149+G162+G165+G170</f>
        <v>21934695.609999999</v>
      </c>
    </row>
    <row r="9" spans="1:7" s="378" customFormat="1" x14ac:dyDescent="0.25">
      <c r="A9" s="415">
        <v>31</v>
      </c>
      <c r="B9" s="416" t="s">
        <v>88</v>
      </c>
      <c r="C9" s="408">
        <f>C10+C19+C27</f>
        <v>0</v>
      </c>
      <c r="D9" s="408">
        <f>D10+D19+D27</f>
        <v>0</v>
      </c>
      <c r="E9" s="408">
        <f>E10+E19+E27</f>
        <v>13895551.15</v>
      </c>
      <c r="F9" s="408">
        <f t="shared" ref="F9:G9" si="2">F10+F19+F27</f>
        <v>14019016.51</v>
      </c>
      <c r="G9" s="408">
        <f t="shared" si="2"/>
        <v>14142396.4</v>
      </c>
    </row>
    <row r="10" spans="1:7" s="381" customFormat="1" x14ac:dyDescent="0.25">
      <c r="A10" s="417">
        <v>311</v>
      </c>
      <c r="B10" s="418" t="s">
        <v>89</v>
      </c>
      <c r="C10" s="380">
        <f>C11+C14+C15+C17</f>
        <v>0</v>
      </c>
      <c r="D10" s="380">
        <f>D11+D14+D15+D17</f>
        <v>0</v>
      </c>
      <c r="E10" s="380">
        <f>E11+E14+E15+E17</f>
        <v>11748762.310000001</v>
      </c>
      <c r="F10" s="380">
        <f t="shared" ref="F10:G10" si="3">F11+F14+F15+F17</f>
        <v>11813800</v>
      </c>
      <c r="G10" s="380">
        <f t="shared" si="3"/>
        <v>11886800</v>
      </c>
    </row>
    <row r="11" spans="1:7" s="381" customFormat="1" x14ac:dyDescent="0.25">
      <c r="A11" s="417">
        <v>3111</v>
      </c>
      <c r="B11" s="418" t="s">
        <v>90</v>
      </c>
      <c r="C11" s="380">
        <f>SUM(C12:C13)</f>
        <v>0</v>
      </c>
      <c r="D11" s="380">
        <f>SUM(D12:D13)</f>
        <v>0</v>
      </c>
      <c r="E11" s="380">
        <f>SUM(E12:E13)</f>
        <v>11578762.310000001</v>
      </c>
      <c r="F11" s="380">
        <f t="shared" ref="F11:G11" si="4">SUM(F12:F13)</f>
        <v>11636800</v>
      </c>
      <c r="G11" s="380">
        <f t="shared" si="4"/>
        <v>11702800</v>
      </c>
    </row>
    <row r="12" spans="1:7" x14ac:dyDescent="0.25">
      <c r="A12" s="419" t="s">
        <v>484</v>
      </c>
      <c r="B12" s="331" t="s">
        <v>90</v>
      </c>
      <c r="C12" s="420"/>
      <c r="D12" s="420"/>
      <c r="E12" s="420">
        <f>3370067.31+4865000+3341895</f>
        <v>11576962.310000001</v>
      </c>
      <c r="F12" s="420">
        <v>11635000</v>
      </c>
      <c r="G12" s="420">
        <v>11701000</v>
      </c>
    </row>
    <row r="13" spans="1:7" x14ac:dyDescent="0.25">
      <c r="A13" s="419" t="s">
        <v>485</v>
      </c>
      <c r="B13" s="331" t="s">
        <v>400</v>
      </c>
      <c r="C13" s="420"/>
      <c r="D13" s="420"/>
      <c r="E13" s="420">
        <v>1800</v>
      </c>
      <c r="F13" s="420">
        <v>1800</v>
      </c>
      <c r="G13" s="420">
        <v>1800</v>
      </c>
    </row>
    <row r="14" spans="1:7" hidden="1" x14ac:dyDescent="0.25">
      <c r="A14" s="417" t="s">
        <v>91</v>
      </c>
      <c r="B14" s="418" t="s">
        <v>92</v>
      </c>
      <c r="C14" s="421"/>
      <c r="D14" s="421"/>
      <c r="E14" s="421"/>
      <c r="F14" s="421"/>
      <c r="G14" s="421"/>
    </row>
    <row r="15" spans="1:7" x14ac:dyDescent="0.25">
      <c r="A15" s="417" t="s">
        <v>93</v>
      </c>
      <c r="B15" s="418" t="s">
        <v>94</v>
      </c>
      <c r="C15" s="421">
        <f>SUM(C16)</f>
        <v>0</v>
      </c>
      <c r="D15" s="421">
        <f>SUM(D16)</f>
        <v>0</v>
      </c>
      <c r="E15" s="421">
        <f>SUM(E16)</f>
        <v>170000</v>
      </c>
      <c r="F15" s="421">
        <f t="shared" ref="F15:G15" si="5">SUM(F16)</f>
        <v>177000</v>
      </c>
      <c r="G15" s="421">
        <f t="shared" si="5"/>
        <v>184000</v>
      </c>
    </row>
    <row r="16" spans="1:7" x14ac:dyDescent="0.25">
      <c r="A16" s="419" t="s">
        <v>486</v>
      </c>
      <c r="B16" s="331" t="s">
        <v>94</v>
      </c>
      <c r="C16" s="420"/>
      <c r="D16" s="420"/>
      <c r="E16" s="420">
        <f>80000+90000</f>
        <v>170000</v>
      </c>
      <c r="F16" s="420">
        <v>177000</v>
      </c>
      <c r="G16" s="420">
        <v>184000</v>
      </c>
    </row>
    <row r="17" spans="1:7" hidden="1" x14ac:dyDescent="0.25">
      <c r="A17" s="417" t="s">
        <v>95</v>
      </c>
      <c r="B17" s="418" t="s">
        <v>211</v>
      </c>
      <c r="C17" s="421">
        <f>SUM(C18)</f>
        <v>0</v>
      </c>
      <c r="D17" s="421">
        <f>SUM(D18)</f>
        <v>0</v>
      </c>
      <c r="E17" s="421">
        <f>SUM(E18)</f>
        <v>0</v>
      </c>
      <c r="F17" s="421">
        <f t="shared" ref="F17:G17" si="6">SUM(F18)</f>
        <v>0</v>
      </c>
      <c r="G17" s="421">
        <f t="shared" si="6"/>
        <v>0</v>
      </c>
    </row>
    <row r="18" spans="1:7" hidden="1" x14ac:dyDescent="0.25">
      <c r="A18" s="419" t="s">
        <v>487</v>
      </c>
      <c r="B18" s="331" t="s">
        <v>211</v>
      </c>
      <c r="C18" s="420"/>
      <c r="D18" s="420">
        <v>0</v>
      </c>
      <c r="E18" s="420">
        <v>0</v>
      </c>
      <c r="F18" s="420">
        <v>0</v>
      </c>
      <c r="G18" s="420">
        <v>0</v>
      </c>
    </row>
    <row r="19" spans="1:7" x14ac:dyDescent="0.25">
      <c r="A19" s="417" t="s">
        <v>97</v>
      </c>
      <c r="B19" s="418" t="s">
        <v>98</v>
      </c>
      <c r="C19" s="380">
        <f>C20</f>
        <v>0</v>
      </c>
      <c r="D19" s="380">
        <f>D20</f>
        <v>0</v>
      </c>
      <c r="E19" s="380">
        <f>E20</f>
        <v>350300</v>
      </c>
      <c r="F19" s="380">
        <f t="shared" ref="F19:G19" si="7">F20</f>
        <v>365500</v>
      </c>
      <c r="G19" s="380">
        <f t="shared" si="7"/>
        <v>380700</v>
      </c>
    </row>
    <row r="20" spans="1:7" x14ac:dyDescent="0.25">
      <c r="A20" s="417" t="s">
        <v>99</v>
      </c>
      <c r="B20" s="418" t="s">
        <v>98</v>
      </c>
      <c r="C20" s="380">
        <f>SUM(C21:C26)</f>
        <v>0</v>
      </c>
      <c r="D20" s="380">
        <f>SUM(D21:D26)</f>
        <v>0</v>
      </c>
      <c r="E20" s="380">
        <f>SUM(E21:E26)</f>
        <v>350300</v>
      </c>
      <c r="F20" s="380">
        <f t="shared" ref="F20:G20" si="8">SUM(F21:F26)</f>
        <v>365500</v>
      </c>
      <c r="G20" s="380">
        <f t="shared" si="8"/>
        <v>380700</v>
      </c>
    </row>
    <row r="21" spans="1:7" x14ac:dyDescent="0.25">
      <c r="A21" s="419" t="s">
        <v>488</v>
      </c>
      <c r="B21" s="331" t="s">
        <v>402</v>
      </c>
      <c r="C21" s="403"/>
      <c r="D21" s="403"/>
      <c r="E21" s="403">
        <f>28000+96500</f>
        <v>124500</v>
      </c>
      <c r="F21" s="403">
        <v>128000</v>
      </c>
      <c r="G21" s="403">
        <v>131500</v>
      </c>
    </row>
    <row r="22" spans="1:7" x14ac:dyDescent="0.25">
      <c r="A22" s="419" t="s">
        <v>489</v>
      </c>
      <c r="B22" s="331" t="s">
        <v>404</v>
      </c>
      <c r="C22" s="403"/>
      <c r="D22" s="403"/>
      <c r="E22" s="403">
        <v>26000</v>
      </c>
      <c r="F22" s="403">
        <v>28000</v>
      </c>
      <c r="G22" s="403">
        <v>30000</v>
      </c>
    </row>
    <row r="23" spans="1:7" x14ac:dyDescent="0.25">
      <c r="A23" s="419" t="s">
        <v>490</v>
      </c>
      <c r="B23" s="331" t="s">
        <v>403</v>
      </c>
      <c r="C23" s="403"/>
      <c r="D23" s="403"/>
      <c r="E23" s="403">
        <f>25000+2000</f>
        <v>27000</v>
      </c>
      <c r="F23" s="403">
        <v>28500</v>
      </c>
      <c r="G23" s="403">
        <v>30000</v>
      </c>
    </row>
    <row r="24" spans="1:7" x14ac:dyDescent="0.25">
      <c r="A24" s="419" t="s">
        <v>491</v>
      </c>
      <c r="B24" s="331" t="s">
        <v>405</v>
      </c>
      <c r="C24" s="403"/>
      <c r="D24" s="403"/>
      <c r="E24" s="403">
        <f>10000+3800</f>
        <v>13800</v>
      </c>
      <c r="F24" s="403">
        <v>15000</v>
      </c>
      <c r="G24" s="403">
        <v>16200</v>
      </c>
    </row>
    <row r="25" spans="1:7" x14ac:dyDescent="0.25">
      <c r="A25" s="419" t="s">
        <v>492</v>
      </c>
      <c r="B25" s="331" t="s">
        <v>406</v>
      </c>
      <c r="C25" s="403"/>
      <c r="D25" s="403"/>
      <c r="E25" s="403">
        <f>57000+35000</f>
        <v>92000</v>
      </c>
      <c r="F25" s="403">
        <v>95000</v>
      </c>
      <c r="G25" s="403">
        <v>98000</v>
      </c>
    </row>
    <row r="26" spans="1:7" s="394" customFormat="1" x14ac:dyDescent="0.25">
      <c r="A26" s="419" t="s">
        <v>493</v>
      </c>
      <c r="B26" s="331" t="s">
        <v>401</v>
      </c>
      <c r="C26" s="420"/>
      <c r="D26" s="420"/>
      <c r="E26" s="420">
        <f>32000+35000</f>
        <v>67000</v>
      </c>
      <c r="F26" s="420">
        <v>71000</v>
      </c>
      <c r="G26" s="420">
        <v>75000</v>
      </c>
    </row>
    <row r="27" spans="1:7" s="381" customFormat="1" x14ac:dyDescent="0.25">
      <c r="A27" s="422">
        <v>313</v>
      </c>
      <c r="B27" s="418" t="s">
        <v>100</v>
      </c>
      <c r="C27" s="380">
        <f>C28+C30</f>
        <v>0</v>
      </c>
      <c r="D27" s="380">
        <f>D28+D30</f>
        <v>0</v>
      </c>
      <c r="E27" s="380">
        <f>E28+E30</f>
        <v>1796488.8399999999</v>
      </c>
      <c r="F27" s="380">
        <f t="shared" ref="F27:G27" si="9">F28+F30</f>
        <v>1839716.51</v>
      </c>
      <c r="G27" s="380">
        <f t="shared" si="9"/>
        <v>1874896.4</v>
      </c>
    </row>
    <row r="28" spans="1:7" s="381" customFormat="1" x14ac:dyDescent="0.25">
      <c r="A28" s="422">
        <v>3132</v>
      </c>
      <c r="B28" s="418" t="s">
        <v>101</v>
      </c>
      <c r="C28" s="380">
        <f>SUM(C29)</f>
        <v>0</v>
      </c>
      <c r="D28" s="380">
        <f>SUM(D29)</f>
        <v>0</v>
      </c>
      <c r="E28" s="380">
        <f>SUM(E29)</f>
        <v>1796488.8399999999</v>
      </c>
      <c r="F28" s="380">
        <f t="shared" ref="F28:G28" si="10">SUM(F29)</f>
        <v>1839716.51</v>
      </c>
      <c r="G28" s="380">
        <f t="shared" si="10"/>
        <v>1874896.4</v>
      </c>
    </row>
    <row r="29" spans="1:7" x14ac:dyDescent="0.25">
      <c r="A29" s="423" t="s">
        <v>494</v>
      </c>
      <c r="B29" s="331" t="s">
        <v>101</v>
      </c>
      <c r="C29" s="420"/>
      <c r="D29" s="420"/>
      <c r="E29" s="420">
        <f>760000+536488.84+500000</f>
        <v>1796488.8399999999</v>
      </c>
      <c r="F29" s="420">
        <v>1839716.51</v>
      </c>
      <c r="G29" s="420">
        <v>1874896.4</v>
      </c>
    </row>
    <row r="30" spans="1:7" hidden="1" x14ac:dyDescent="0.25">
      <c r="A30" s="422" t="s">
        <v>324</v>
      </c>
      <c r="B30" s="418" t="s">
        <v>563</v>
      </c>
      <c r="C30" s="380">
        <f>C31</f>
        <v>0</v>
      </c>
      <c r="D30" s="380">
        <f>D31</f>
        <v>0</v>
      </c>
      <c r="E30" s="380">
        <f>E31</f>
        <v>0</v>
      </c>
      <c r="F30" s="380">
        <f>F31</f>
        <v>0</v>
      </c>
      <c r="G30" s="380">
        <f>G31</f>
        <v>0</v>
      </c>
    </row>
    <row r="31" spans="1:7" hidden="1" x14ac:dyDescent="0.25">
      <c r="A31" s="423" t="s">
        <v>562</v>
      </c>
      <c r="B31" s="331" t="s">
        <v>564</v>
      </c>
      <c r="C31" s="403"/>
      <c r="D31" s="403">
        <v>0</v>
      </c>
      <c r="E31" s="403"/>
      <c r="F31" s="403"/>
      <c r="G31" s="403"/>
    </row>
    <row r="32" spans="1:7" x14ac:dyDescent="0.25">
      <c r="A32" s="415">
        <v>32</v>
      </c>
      <c r="B32" s="416" t="s">
        <v>102</v>
      </c>
      <c r="C32" s="408">
        <f>C33+C46+C75+C117+C120+C128</f>
        <v>0</v>
      </c>
      <c r="D32" s="408">
        <f>D33+D46+D75+D117+D120+D128</f>
        <v>0</v>
      </c>
      <c r="E32" s="408">
        <f>E33+E46+E75+E117+E120+E128</f>
        <v>7400658.6200000001</v>
      </c>
      <c r="F32" s="408">
        <f>F33+F46+F75+F117+F120+F128</f>
        <v>7581279.6200000001</v>
      </c>
      <c r="G32" s="408">
        <f>G33+G46+G75+G117+G120+G128</f>
        <v>7765234.21</v>
      </c>
    </row>
    <row r="33" spans="1:7" s="381" customFormat="1" x14ac:dyDescent="0.25">
      <c r="A33" s="417">
        <v>321</v>
      </c>
      <c r="B33" s="418" t="s">
        <v>103</v>
      </c>
      <c r="C33" s="380">
        <f>C34+C39+C41+C44</f>
        <v>0</v>
      </c>
      <c r="D33" s="380">
        <f>D34+D39+D41+D44</f>
        <v>0</v>
      </c>
      <c r="E33" s="380">
        <f>E34+E39+E41+E44</f>
        <v>250944.29</v>
      </c>
      <c r="F33" s="380">
        <f t="shared" ref="F33:G33" si="11">F34+F39+F41+F44</f>
        <v>257170</v>
      </c>
      <c r="G33" s="380">
        <f t="shared" si="11"/>
        <v>264360</v>
      </c>
    </row>
    <row r="34" spans="1:7" s="381" customFormat="1" x14ac:dyDescent="0.25">
      <c r="A34" s="417" t="s">
        <v>104</v>
      </c>
      <c r="B34" s="418" t="s">
        <v>105</v>
      </c>
      <c r="C34" s="380">
        <f>SUM(C35:C38)</f>
        <v>0</v>
      </c>
      <c r="D34" s="380">
        <f>SUM(D35:D38)</f>
        <v>0</v>
      </c>
      <c r="E34" s="380">
        <f>SUM(E35:E38)</f>
        <v>6380</v>
      </c>
      <c r="F34" s="380">
        <f t="shared" ref="F34:G34" si="12">SUM(F35:F38)</f>
        <v>6920</v>
      </c>
      <c r="G34" s="380">
        <f t="shared" si="12"/>
        <v>7460</v>
      </c>
    </row>
    <row r="35" spans="1:7" s="381" customFormat="1" x14ac:dyDescent="0.25">
      <c r="A35" s="419">
        <v>32111</v>
      </c>
      <c r="B35" s="331" t="s">
        <v>407</v>
      </c>
      <c r="C35" s="403"/>
      <c r="D35" s="403"/>
      <c r="E35" s="403">
        <f>3000+600</f>
        <v>3600</v>
      </c>
      <c r="F35" s="403">
        <v>3800</v>
      </c>
      <c r="G35" s="403">
        <v>4000</v>
      </c>
    </row>
    <row r="36" spans="1:7" s="381" customFormat="1" x14ac:dyDescent="0.25">
      <c r="A36" s="419">
        <v>32113</v>
      </c>
      <c r="B36" s="331" t="s">
        <v>409</v>
      </c>
      <c r="C36" s="403"/>
      <c r="D36" s="403"/>
      <c r="E36" s="403">
        <f>500+1000</f>
        <v>1500</v>
      </c>
      <c r="F36" s="403">
        <v>1700</v>
      </c>
      <c r="G36" s="403">
        <v>1900</v>
      </c>
    </row>
    <row r="37" spans="1:7" x14ac:dyDescent="0.25">
      <c r="A37" s="419">
        <v>32115</v>
      </c>
      <c r="B37" s="331" t="s">
        <v>410</v>
      </c>
      <c r="C37" s="420"/>
      <c r="D37" s="420"/>
      <c r="E37" s="420">
        <f>500+700</f>
        <v>1200</v>
      </c>
      <c r="F37" s="420">
        <v>1300</v>
      </c>
      <c r="G37" s="420">
        <v>1400</v>
      </c>
    </row>
    <row r="38" spans="1:7" x14ac:dyDescent="0.25">
      <c r="A38" s="419" t="s">
        <v>592</v>
      </c>
      <c r="B38" s="331" t="s">
        <v>593</v>
      </c>
      <c r="C38" s="420"/>
      <c r="D38" s="420"/>
      <c r="E38" s="420">
        <v>80</v>
      </c>
      <c r="F38" s="420">
        <v>120</v>
      </c>
      <c r="G38" s="420">
        <v>160</v>
      </c>
    </row>
    <row r="39" spans="1:7" x14ac:dyDescent="0.25">
      <c r="A39" s="417" t="s">
        <v>106</v>
      </c>
      <c r="B39" s="333" t="s">
        <v>107</v>
      </c>
      <c r="C39" s="421">
        <f>SUM(C40)</f>
        <v>0</v>
      </c>
      <c r="D39" s="421">
        <f>SUM(D40)</f>
        <v>0</v>
      </c>
      <c r="E39" s="421">
        <f>SUM(E40)</f>
        <v>234716.27000000002</v>
      </c>
      <c r="F39" s="421">
        <f t="shared" ref="F39:G39" si="13">SUM(F40)</f>
        <v>240000</v>
      </c>
      <c r="G39" s="421">
        <f t="shared" si="13"/>
        <v>246000</v>
      </c>
    </row>
    <row r="40" spans="1:7" s="394" customFormat="1" x14ac:dyDescent="0.25">
      <c r="A40" s="419" t="s">
        <v>495</v>
      </c>
      <c r="B40" s="332" t="s">
        <v>107</v>
      </c>
      <c r="C40" s="420"/>
      <c r="D40" s="420"/>
      <c r="E40" s="420">
        <f>74716.27+160000</f>
        <v>234716.27000000002</v>
      </c>
      <c r="F40" s="420">
        <v>240000</v>
      </c>
      <c r="G40" s="420">
        <v>246000</v>
      </c>
    </row>
    <row r="41" spans="1:7" s="394" customFormat="1" x14ac:dyDescent="0.25">
      <c r="A41" s="417" t="s">
        <v>108</v>
      </c>
      <c r="B41" s="333" t="s">
        <v>109</v>
      </c>
      <c r="C41" s="421">
        <f>SUM(C42:C43)</f>
        <v>0</v>
      </c>
      <c r="D41" s="421">
        <f>SUM(D42:D43)</f>
        <v>0</v>
      </c>
      <c r="E41" s="421">
        <f>SUM(E42:E43)</f>
        <v>9648.02</v>
      </c>
      <c r="F41" s="421">
        <f t="shared" ref="F41:G41" si="14">SUM(F42:F43)</f>
        <v>10050</v>
      </c>
      <c r="G41" s="421">
        <f t="shared" si="14"/>
        <v>10700</v>
      </c>
    </row>
    <row r="42" spans="1:7" s="394" customFormat="1" x14ac:dyDescent="0.25">
      <c r="A42" s="419">
        <v>32131</v>
      </c>
      <c r="B42" s="332" t="s">
        <v>411</v>
      </c>
      <c r="C42" s="420"/>
      <c r="D42" s="420"/>
      <c r="E42" s="420">
        <f>5470+1100</f>
        <v>6570</v>
      </c>
      <c r="F42" s="420">
        <v>6750</v>
      </c>
      <c r="G42" s="420">
        <v>7000</v>
      </c>
    </row>
    <row r="43" spans="1:7" x14ac:dyDescent="0.25">
      <c r="A43" s="419">
        <v>32132</v>
      </c>
      <c r="B43" s="332" t="s">
        <v>412</v>
      </c>
      <c r="C43" s="420"/>
      <c r="D43" s="420"/>
      <c r="E43" s="420">
        <f>500+2578.02</f>
        <v>3078.02</v>
      </c>
      <c r="F43" s="420">
        <v>3300</v>
      </c>
      <c r="G43" s="420">
        <v>3700</v>
      </c>
    </row>
    <row r="44" spans="1:7" x14ac:dyDescent="0.25">
      <c r="A44" s="417" t="s">
        <v>110</v>
      </c>
      <c r="B44" s="333" t="s">
        <v>111</v>
      </c>
      <c r="C44" s="421">
        <f>SUM(C45)</f>
        <v>0</v>
      </c>
      <c r="D44" s="421">
        <f>SUM(D45)</f>
        <v>0</v>
      </c>
      <c r="E44" s="421">
        <f>SUM(E45)</f>
        <v>200</v>
      </c>
      <c r="F44" s="421">
        <f t="shared" ref="F44:G44" si="15">SUM(F45)</f>
        <v>200</v>
      </c>
      <c r="G44" s="421">
        <f t="shared" si="15"/>
        <v>200</v>
      </c>
    </row>
    <row r="45" spans="1:7" x14ac:dyDescent="0.25">
      <c r="A45" s="419" t="s">
        <v>496</v>
      </c>
      <c r="B45" s="332" t="s">
        <v>413</v>
      </c>
      <c r="C45" s="420"/>
      <c r="D45" s="420"/>
      <c r="E45" s="420">
        <v>200</v>
      </c>
      <c r="F45" s="420">
        <v>200</v>
      </c>
      <c r="G45" s="420">
        <v>200</v>
      </c>
    </row>
    <row r="46" spans="1:7" x14ac:dyDescent="0.25">
      <c r="A46" s="417" t="s">
        <v>112</v>
      </c>
      <c r="B46" s="333" t="s">
        <v>113</v>
      </c>
      <c r="C46" s="380">
        <f>C47+C54+C60+C65+C70+C73</f>
        <v>0</v>
      </c>
      <c r="D46" s="380">
        <f>D47+D54+D60+D65+D70+D73</f>
        <v>0</v>
      </c>
      <c r="E46" s="380">
        <f>E47+E54+E60+E65+E70+E73</f>
        <v>3285505</v>
      </c>
      <c r="F46" s="380">
        <f t="shared" ref="F46:G46" si="16">F47+F54+F60+F65+F70+F73</f>
        <v>3334240.29</v>
      </c>
      <c r="G46" s="380">
        <f t="shared" si="16"/>
        <v>3381444.88</v>
      </c>
    </row>
    <row r="47" spans="1:7" x14ac:dyDescent="0.25">
      <c r="A47" s="417" t="s">
        <v>114</v>
      </c>
      <c r="B47" s="418" t="s">
        <v>115</v>
      </c>
      <c r="C47" s="487">
        <f>SUM(C48:C53)</f>
        <v>0</v>
      </c>
      <c r="D47" s="380">
        <f>SUM(D48:D53)</f>
        <v>0</v>
      </c>
      <c r="E47" s="380">
        <f>SUM(E48:E53)</f>
        <v>128000</v>
      </c>
      <c r="F47" s="380">
        <f t="shared" ref="F47:G47" si="17">SUM(F48:F53)</f>
        <v>136650</v>
      </c>
      <c r="G47" s="380">
        <f t="shared" si="17"/>
        <v>146300</v>
      </c>
    </row>
    <row r="48" spans="1:7" x14ac:dyDescent="0.25">
      <c r="A48" s="419">
        <v>32211</v>
      </c>
      <c r="B48" s="331" t="s">
        <v>414</v>
      </c>
      <c r="C48" s="488"/>
      <c r="D48" s="403"/>
      <c r="E48" s="403">
        <f>12000+15000+14000</f>
        <v>41000</v>
      </c>
      <c r="F48" s="403">
        <v>44500</v>
      </c>
      <c r="G48" s="403">
        <v>48900</v>
      </c>
    </row>
    <row r="49" spans="1:7" x14ac:dyDescent="0.25">
      <c r="A49" s="419">
        <v>32212</v>
      </c>
      <c r="B49" s="332" t="s">
        <v>415</v>
      </c>
      <c r="C49" s="488"/>
      <c r="D49" s="403"/>
      <c r="E49" s="403">
        <f>300+700+500</f>
        <v>1500</v>
      </c>
      <c r="F49" s="403">
        <v>1650</v>
      </c>
      <c r="G49" s="403">
        <v>1800</v>
      </c>
    </row>
    <row r="50" spans="1:7" x14ac:dyDescent="0.25">
      <c r="A50" s="419">
        <v>32214</v>
      </c>
      <c r="B50" s="332" t="s">
        <v>416</v>
      </c>
      <c r="C50" s="488"/>
      <c r="D50" s="403"/>
      <c r="E50" s="403">
        <f>13500+15000+30000</f>
        <v>58500</v>
      </c>
      <c r="F50" s="403">
        <v>61000</v>
      </c>
      <c r="G50" s="403">
        <v>63500</v>
      </c>
    </row>
    <row r="51" spans="1:7" x14ac:dyDescent="0.25">
      <c r="A51" s="419">
        <v>32215</v>
      </c>
      <c r="B51" s="332" t="s">
        <v>417</v>
      </c>
      <c r="C51" s="488"/>
      <c r="D51" s="403"/>
      <c r="E51" s="403">
        <v>500</v>
      </c>
      <c r="F51" s="403">
        <v>700</v>
      </c>
      <c r="G51" s="403">
        <v>900</v>
      </c>
    </row>
    <row r="52" spans="1:7" x14ac:dyDescent="0.25">
      <c r="A52" s="419" t="s">
        <v>594</v>
      </c>
      <c r="B52" s="332" t="s">
        <v>595</v>
      </c>
      <c r="C52" s="488">
        <v>0</v>
      </c>
      <c r="D52" s="403">
        <v>0</v>
      </c>
      <c r="E52" s="403">
        <v>25000</v>
      </c>
      <c r="F52" s="403">
        <v>27000</v>
      </c>
      <c r="G52" s="403">
        <v>29000</v>
      </c>
    </row>
    <row r="53" spans="1:7" s="394" customFormat="1" x14ac:dyDescent="0.25">
      <c r="A53" s="419">
        <v>32219</v>
      </c>
      <c r="B53" s="331" t="s">
        <v>418</v>
      </c>
      <c r="C53" s="420"/>
      <c r="D53" s="420"/>
      <c r="E53" s="420">
        <v>1500</v>
      </c>
      <c r="F53" s="420">
        <v>1800</v>
      </c>
      <c r="G53" s="420">
        <v>2200</v>
      </c>
    </row>
    <row r="54" spans="1:7" s="394" customFormat="1" x14ac:dyDescent="0.25">
      <c r="A54" s="417" t="s">
        <v>116</v>
      </c>
      <c r="B54" s="418" t="s">
        <v>117</v>
      </c>
      <c r="C54" s="421">
        <f>SUM(C55:C59)</f>
        <v>0</v>
      </c>
      <c r="D54" s="421">
        <f>SUM(D55:D59)</f>
        <v>0</v>
      </c>
      <c r="E54" s="421">
        <f>SUM(E55:E59)</f>
        <v>2806455</v>
      </c>
      <c r="F54" s="421">
        <f t="shared" ref="F54:G54" si="18">SUM(F55:F59)</f>
        <v>2832990.29</v>
      </c>
      <c r="G54" s="421">
        <f t="shared" si="18"/>
        <v>2856994.88</v>
      </c>
    </row>
    <row r="55" spans="1:7" s="394" customFormat="1" hidden="1" x14ac:dyDescent="0.25">
      <c r="A55" s="419" t="s">
        <v>497</v>
      </c>
      <c r="B55" s="331" t="s">
        <v>419</v>
      </c>
      <c r="C55" s="420"/>
      <c r="D55" s="420"/>
      <c r="E55" s="420">
        <v>0</v>
      </c>
      <c r="F55" s="420">
        <v>0</v>
      </c>
      <c r="G55" s="420">
        <v>0</v>
      </c>
    </row>
    <row r="56" spans="1:7" s="394" customFormat="1" x14ac:dyDescent="0.25">
      <c r="A56" s="419" t="s">
        <v>596</v>
      </c>
      <c r="B56" s="331" t="s">
        <v>598</v>
      </c>
      <c r="C56" s="420"/>
      <c r="D56" s="420"/>
      <c r="E56" s="420">
        <v>12000</v>
      </c>
      <c r="F56" s="420">
        <v>13000</v>
      </c>
      <c r="G56" s="420">
        <v>14000</v>
      </c>
    </row>
    <row r="57" spans="1:7" s="394" customFormat="1" x14ac:dyDescent="0.25">
      <c r="A57" s="419" t="s">
        <v>597</v>
      </c>
      <c r="B57" s="331" t="s">
        <v>599</v>
      </c>
      <c r="C57" s="420"/>
      <c r="D57" s="420"/>
      <c r="E57" s="420">
        <v>2794455</v>
      </c>
      <c r="F57" s="420">
        <v>2819990.29</v>
      </c>
      <c r="G57" s="420">
        <v>2842994.88</v>
      </c>
    </row>
    <row r="58" spans="1:7" s="394" customFormat="1" hidden="1" x14ac:dyDescent="0.25">
      <c r="A58" s="419" t="s">
        <v>498</v>
      </c>
      <c r="B58" s="331" t="s">
        <v>420</v>
      </c>
      <c r="C58" s="420"/>
      <c r="D58" s="420"/>
      <c r="E58" s="420">
        <v>0</v>
      </c>
      <c r="F58" s="420">
        <v>0</v>
      </c>
      <c r="G58" s="420">
        <v>0</v>
      </c>
    </row>
    <row r="59" spans="1:7" hidden="1" x14ac:dyDescent="0.25">
      <c r="A59" s="419" t="s">
        <v>499</v>
      </c>
      <c r="B59" s="331" t="s">
        <v>421</v>
      </c>
      <c r="C59" s="420"/>
      <c r="D59" s="420"/>
      <c r="E59" s="420">
        <v>0</v>
      </c>
      <c r="F59" s="420">
        <v>0</v>
      </c>
      <c r="G59" s="420">
        <v>0</v>
      </c>
    </row>
    <row r="60" spans="1:7" x14ac:dyDescent="0.25">
      <c r="A60" s="417" t="s">
        <v>118</v>
      </c>
      <c r="B60" s="418" t="s">
        <v>119</v>
      </c>
      <c r="C60" s="421">
        <f>SUM(C61:C64)</f>
        <v>0</v>
      </c>
      <c r="D60" s="421">
        <f>SUM(D61:D64)</f>
        <v>0</v>
      </c>
      <c r="E60" s="421">
        <f>SUM(E61:E64)</f>
        <v>321000</v>
      </c>
      <c r="F60" s="421">
        <f t="shared" ref="F60:G60" si="19">SUM(F61:F64)</f>
        <v>329300</v>
      </c>
      <c r="G60" s="421">
        <f t="shared" si="19"/>
        <v>337600</v>
      </c>
    </row>
    <row r="61" spans="1:7" x14ac:dyDescent="0.25">
      <c r="A61" s="419" t="s">
        <v>500</v>
      </c>
      <c r="B61" s="331" t="s">
        <v>423</v>
      </c>
      <c r="C61" s="420"/>
      <c r="D61" s="420"/>
      <c r="E61" s="420">
        <f>27000+55000+60000</f>
        <v>142000</v>
      </c>
      <c r="F61" s="420">
        <v>144000</v>
      </c>
      <c r="G61" s="420">
        <v>146000</v>
      </c>
    </row>
    <row r="62" spans="1:7" x14ac:dyDescent="0.25">
      <c r="A62" s="419" t="s">
        <v>501</v>
      </c>
      <c r="B62" s="331" t="s">
        <v>424</v>
      </c>
      <c r="C62" s="420"/>
      <c r="D62" s="420"/>
      <c r="E62" s="420">
        <v>2200</v>
      </c>
      <c r="F62" s="420">
        <v>2500</v>
      </c>
      <c r="G62" s="420">
        <v>2800</v>
      </c>
    </row>
    <row r="63" spans="1:7" x14ac:dyDescent="0.25">
      <c r="A63" s="419" t="s">
        <v>502</v>
      </c>
      <c r="B63" s="331" t="s">
        <v>425</v>
      </c>
      <c r="C63" s="420"/>
      <c r="D63" s="420"/>
      <c r="E63" s="420">
        <f>20000+65000+50000</f>
        <v>135000</v>
      </c>
      <c r="F63" s="420">
        <v>140000</v>
      </c>
      <c r="G63" s="420">
        <v>145000</v>
      </c>
    </row>
    <row r="64" spans="1:7" x14ac:dyDescent="0.25">
      <c r="A64" s="419" t="s">
        <v>503</v>
      </c>
      <c r="B64" s="331" t="s">
        <v>422</v>
      </c>
      <c r="C64" s="420"/>
      <c r="D64" s="420"/>
      <c r="E64" s="420">
        <f>17000+9800+15000</f>
        <v>41800</v>
      </c>
      <c r="F64" s="420">
        <v>42800</v>
      </c>
      <c r="G64" s="420">
        <v>43800</v>
      </c>
    </row>
    <row r="65" spans="1:7" x14ac:dyDescent="0.25">
      <c r="A65" s="417" t="s">
        <v>120</v>
      </c>
      <c r="B65" s="333" t="s">
        <v>121</v>
      </c>
      <c r="C65" s="421">
        <f>SUM(C66:C69)</f>
        <v>0</v>
      </c>
      <c r="D65" s="421">
        <f>SUM(D66:D69)</f>
        <v>0</v>
      </c>
      <c r="E65" s="421">
        <f>SUM(E66:E69)</f>
        <v>15050</v>
      </c>
      <c r="F65" s="421">
        <f t="shared" ref="F65:G65" si="20">SUM(F66:F69)</f>
        <v>16800</v>
      </c>
      <c r="G65" s="421">
        <f t="shared" si="20"/>
        <v>18550</v>
      </c>
    </row>
    <row r="66" spans="1:7" x14ac:dyDescent="0.25">
      <c r="A66" s="419">
        <v>32241</v>
      </c>
      <c r="B66" s="331" t="s">
        <v>426</v>
      </c>
      <c r="C66" s="420"/>
      <c r="D66" s="420"/>
      <c r="E66" s="420">
        <v>2500</v>
      </c>
      <c r="F66" s="420">
        <v>3000</v>
      </c>
      <c r="G66" s="420">
        <v>3500</v>
      </c>
    </row>
    <row r="67" spans="1:7" x14ac:dyDescent="0.25">
      <c r="A67" s="419">
        <v>32242</v>
      </c>
      <c r="B67" s="331" t="s">
        <v>428</v>
      </c>
      <c r="C67" s="420"/>
      <c r="D67" s="420"/>
      <c r="E67" s="420">
        <v>2750</v>
      </c>
      <c r="F67" s="420">
        <v>3000</v>
      </c>
      <c r="G67" s="420">
        <v>3250</v>
      </c>
    </row>
    <row r="68" spans="1:7" x14ac:dyDescent="0.25">
      <c r="A68" s="419">
        <v>32243</v>
      </c>
      <c r="B68" s="331" t="s">
        <v>427</v>
      </c>
      <c r="C68" s="420"/>
      <c r="D68" s="420"/>
      <c r="E68" s="420">
        <f>6000+500</f>
        <v>6500</v>
      </c>
      <c r="F68" s="420">
        <v>7000</v>
      </c>
      <c r="G68" s="420">
        <v>7500</v>
      </c>
    </row>
    <row r="69" spans="1:7" x14ac:dyDescent="0.25">
      <c r="A69" s="419">
        <v>32244</v>
      </c>
      <c r="B69" s="332" t="s">
        <v>429</v>
      </c>
      <c r="C69" s="420"/>
      <c r="D69" s="420"/>
      <c r="E69" s="420">
        <f>3000+300</f>
        <v>3300</v>
      </c>
      <c r="F69" s="420">
        <v>3800</v>
      </c>
      <c r="G69" s="420">
        <v>4300</v>
      </c>
    </row>
    <row r="70" spans="1:7" x14ac:dyDescent="0.25">
      <c r="A70" s="417" t="s">
        <v>122</v>
      </c>
      <c r="B70" s="333" t="s">
        <v>123</v>
      </c>
      <c r="C70" s="421">
        <f>SUM(C71:C72)</f>
        <v>0</v>
      </c>
      <c r="D70" s="421">
        <f>SUM(D71:D72)</f>
        <v>0</v>
      </c>
      <c r="E70" s="421">
        <f>SUM(E71:E72)</f>
        <v>9500</v>
      </c>
      <c r="F70" s="421">
        <f t="shared" ref="F70:G70" si="21">SUM(F71:F72)</f>
        <v>12000</v>
      </c>
      <c r="G70" s="421">
        <f t="shared" si="21"/>
        <v>14500</v>
      </c>
    </row>
    <row r="71" spans="1:7" x14ac:dyDescent="0.25">
      <c r="A71" s="419" t="s">
        <v>504</v>
      </c>
      <c r="B71" s="332" t="s">
        <v>601</v>
      </c>
      <c r="C71" s="420"/>
      <c r="D71" s="420"/>
      <c r="E71" s="420">
        <f>5000+3000</f>
        <v>8000</v>
      </c>
      <c r="F71" s="420">
        <v>10000</v>
      </c>
      <c r="G71" s="420">
        <v>12000</v>
      </c>
    </row>
    <row r="72" spans="1:7" x14ac:dyDescent="0.25">
      <c r="A72" s="419" t="s">
        <v>600</v>
      </c>
      <c r="B72" s="332" t="s">
        <v>602</v>
      </c>
      <c r="C72" s="420"/>
      <c r="D72" s="420"/>
      <c r="E72" s="420">
        <v>1500</v>
      </c>
      <c r="F72" s="420">
        <v>2000</v>
      </c>
      <c r="G72" s="420">
        <v>2500</v>
      </c>
    </row>
    <row r="73" spans="1:7" x14ac:dyDescent="0.25">
      <c r="A73" s="417" t="s">
        <v>124</v>
      </c>
      <c r="B73" s="333" t="s">
        <v>125</v>
      </c>
      <c r="C73" s="421">
        <f>SUM(C74)</f>
        <v>0</v>
      </c>
      <c r="D73" s="421">
        <f>SUM(D74)</f>
        <v>0</v>
      </c>
      <c r="E73" s="421">
        <f>SUM(E74)</f>
        <v>5500</v>
      </c>
      <c r="F73" s="421">
        <f t="shared" ref="F73:G73" si="22">SUM(F74)</f>
        <v>6500</v>
      </c>
      <c r="G73" s="421">
        <f t="shared" si="22"/>
        <v>7500</v>
      </c>
    </row>
    <row r="74" spans="1:7" x14ac:dyDescent="0.25">
      <c r="A74" s="419" t="s">
        <v>505</v>
      </c>
      <c r="B74" s="332" t="s">
        <v>125</v>
      </c>
      <c r="C74" s="420"/>
      <c r="D74" s="420"/>
      <c r="E74" s="420">
        <f>3000+2500</f>
        <v>5500</v>
      </c>
      <c r="F74" s="420">
        <v>6500</v>
      </c>
      <c r="G74" s="420">
        <v>7500</v>
      </c>
    </row>
    <row r="75" spans="1:7" s="381" customFormat="1" x14ac:dyDescent="0.25">
      <c r="A75" s="417" t="s">
        <v>126</v>
      </c>
      <c r="B75" s="333" t="s">
        <v>127</v>
      </c>
      <c r="C75" s="380">
        <f>C76+C80+C85+C87+C96+C100+C105+C110+C112</f>
        <v>0</v>
      </c>
      <c r="D75" s="380">
        <f>D76+D80+D85+D87+D96+D100+D105+D110+D112</f>
        <v>0</v>
      </c>
      <c r="E75" s="380">
        <f>E76+E80+E85+E87+E96+E100+E105+E110+E112</f>
        <v>1067396.33</v>
      </c>
      <c r="F75" s="380">
        <f>F76+F80+F85+F87+F96+F100+F105+F110+F112</f>
        <v>1105996.33</v>
      </c>
      <c r="G75" s="380">
        <f>G76+G80+G85+G87+G96+G100+G105+G110+G112</f>
        <v>1144696.33</v>
      </c>
    </row>
    <row r="76" spans="1:7" s="381" customFormat="1" x14ac:dyDescent="0.25">
      <c r="A76" s="417" t="s">
        <v>128</v>
      </c>
      <c r="B76" s="333" t="s">
        <v>129</v>
      </c>
      <c r="C76" s="380">
        <f>SUM(C77:C79)</f>
        <v>0</v>
      </c>
      <c r="D76" s="380">
        <f>SUM(D77:D79)</f>
        <v>0</v>
      </c>
      <c r="E76" s="380">
        <f>SUM(E77:E79)</f>
        <v>46350</v>
      </c>
      <c r="F76" s="380">
        <f>SUM(F77:F79)</f>
        <v>48800</v>
      </c>
      <c r="G76" s="380">
        <f>SUM(G77:G79)</f>
        <v>51350</v>
      </c>
    </row>
    <row r="77" spans="1:7" s="381" customFormat="1" x14ac:dyDescent="0.25">
      <c r="A77" s="419" t="s">
        <v>506</v>
      </c>
      <c r="B77" s="332" t="s">
        <v>430</v>
      </c>
      <c r="C77" s="403"/>
      <c r="D77" s="403"/>
      <c r="E77" s="403">
        <f>25000+18000</f>
        <v>43000</v>
      </c>
      <c r="F77" s="403">
        <v>45000</v>
      </c>
      <c r="G77" s="403">
        <v>47000</v>
      </c>
    </row>
    <row r="78" spans="1:7" x14ac:dyDescent="0.25">
      <c r="A78" s="419" t="s">
        <v>507</v>
      </c>
      <c r="B78" s="332" t="s">
        <v>431</v>
      </c>
      <c r="C78" s="420"/>
      <c r="D78" s="420"/>
      <c r="E78" s="420">
        <f>600+900</f>
        <v>1500</v>
      </c>
      <c r="F78" s="420">
        <v>1800</v>
      </c>
      <c r="G78" s="420">
        <v>2100</v>
      </c>
    </row>
    <row r="79" spans="1:7" x14ac:dyDescent="0.25">
      <c r="A79" s="419" t="s">
        <v>565</v>
      </c>
      <c r="B79" s="332" t="s">
        <v>566</v>
      </c>
      <c r="C79" s="420"/>
      <c r="D79" s="420"/>
      <c r="E79" s="420">
        <f>350+1500</f>
        <v>1850</v>
      </c>
      <c r="F79" s="420">
        <v>2000</v>
      </c>
      <c r="G79" s="420">
        <v>2250</v>
      </c>
    </row>
    <row r="80" spans="1:7" x14ac:dyDescent="0.25">
      <c r="A80" s="417" t="s">
        <v>130</v>
      </c>
      <c r="B80" s="333" t="s">
        <v>131</v>
      </c>
      <c r="C80" s="421">
        <f>SUM(C81:C84)</f>
        <v>0</v>
      </c>
      <c r="D80" s="421">
        <f>SUM(D81:D84)</f>
        <v>0</v>
      </c>
      <c r="E80" s="421">
        <f>SUM(E81:E84)</f>
        <v>29500</v>
      </c>
      <c r="F80" s="421">
        <f>SUM(F81:F84)</f>
        <v>35500</v>
      </c>
      <c r="G80" s="421">
        <f>SUM(G81:G84)</f>
        <v>41500</v>
      </c>
    </row>
    <row r="81" spans="1:7" x14ac:dyDescent="0.25">
      <c r="A81" s="419">
        <v>32321</v>
      </c>
      <c r="B81" s="332" t="s">
        <v>433</v>
      </c>
      <c r="C81" s="420"/>
      <c r="D81" s="420"/>
      <c r="E81" s="420">
        <f>5000+5000</f>
        <v>10000</v>
      </c>
      <c r="F81" s="420">
        <v>12000</v>
      </c>
      <c r="G81" s="420">
        <v>14000</v>
      </c>
    </row>
    <row r="82" spans="1:7" x14ac:dyDescent="0.25">
      <c r="A82" s="419">
        <v>32322</v>
      </c>
      <c r="B82" s="332" t="s">
        <v>434</v>
      </c>
      <c r="C82" s="420"/>
      <c r="D82" s="420"/>
      <c r="E82" s="420">
        <f>5000+3000</f>
        <v>8000</v>
      </c>
      <c r="F82" s="420">
        <v>10000</v>
      </c>
      <c r="G82" s="420">
        <v>12000</v>
      </c>
    </row>
    <row r="83" spans="1:7" s="394" customFormat="1" x14ac:dyDescent="0.25">
      <c r="A83" s="419">
        <v>32323</v>
      </c>
      <c r="B83" s="332" t="s">
        <v>432</v>
      </c>
      <c r="C83" s="420"/>
      <c r="D83" s="420"/>
      <c r="E83" s="420">
        <f>3500+3000</f>
        <v>6500</v>
      </c>
      <c r="F83" s="420">
        <v>7500</v>
      </c>
      <c r="G83" s="420">
        <v>8500</v>
      </c>
    </row>
    <row r="84" spans="1:7" s="394" customFormat="1" x14ac:dyDescent="0.25">
      <c r="A84" s="419" t="s">
        <v>603</v>
      </c>
      <c r="B84" s="332" t="s">
        <v>604</v>
      </c>
      <c r="C84" s="420"/>
      <c r="D84" s="420"/>
      <c r="E84" s="420">
        <v>5000</v>
      </c>
      <c r="F84" s="420">
        <v>6000</v>
      </c>
      <c r="G84" s="420">
        <v>7000</v>
      </c>
    </row>
    <row r="85" spans="1:7" s="394" customFormat="1" x14ac:dyDescent="0.25">
      <c r="A85" s="417" t="s">
        <v>132</v>
      </c>
      <c r="B85" s="333" t="s">
        <v>133</v>
      </c>
      <c r="C85" s="421">
        <f>SUM(C86)</f>
        <v>0</v>
      </c>
      <c r="D85" s="421">
        <f>SUM(D86)</f>
        <v>0</v>
      </c>
      <c r="E85" s="421">
        <f>SUM(E86)</f>
        <v>2663.61</v>
      </c>
      <c r="F85" s="421">
        <f t="shared" ref="F85:G85" si="23">SUM(F86)</f>
        <v>2663.61</v>
      </c>
      <c r="G85" s="421">
        <f t="shared" si="23"/>
        <v>2663.61</v>
      </c>
    </row>
    <row r="86" spans="1:7" x14ac:dyDescent="0.25">
      <c r="A86" s="419" t="s">
        <v>508</v>
      </c>
      <c r="B86" s="332" t="s">
        <v>133</v>
      </c>
      <c r="C86" s="420"/>
      <c r="D86" s="420"/>
      <c r="E86" s="420">
        <f>2000+663.61</f>
        <v>2663.61</v>
      </c>
      <c r="F86" s="420">
        <v>2663.61</v>
      </c>
      <c r="G86" s="420">
        <v>2663.61</v>
      </c>
    </row>
    <row r="87" spans="1:7" x14ac:dyDescent="0.25">
      <c r="A87" s="424" t="s">
        <v>134</v>
      </c>
      <c r="B87" s="425" t="s">
        <v>135</v>
      </c>
      <c r="C87" s="421">
        <f>SUM(C88:C95)</f>
        <v>0</v>
      </c>
      <c r="D87" s="421">
        <f>SUM(D88:D95)</f>
        <v>0</v>
      </c>
      <c r="E87" s="421">
        <f>SUM(E88:E95)</f>
        <v>166650</v>
      </c>
      <c r="F87" s="421">
        <f t="shared" ref="F87:G87" si="24">SUM(F88:F95)</f>
        <v>175100</v>
      </c>
      <c r="G87" s="421">
        <f t="shared" si="24"/>
        <v>183550</v>
      </c>
    </row>
    <row r="88" spans="1:7" x14ac:dyDescent="0.25">
      <c r="A88" s="419">
        <v>32341</v>
      </c>
      <c r="B88" s="332" t="s">
        <v>436</v>
      </c>
      <c r="C88" s="420"/>
      <c r="D88" s="420"/>
      <c r="E88" s="420">
        <f>25000+13000+6000</f>
        <v>44000</v>
      </c>
      <c r="F88" s="420">
        <v>47000</v>
      </c>
      <c r="G88" s="420">
        <v>50000</v>
      </c>
    </row>
    <row r="89" spans="1:7" x14ac:dyDescent="0.25">
      <c r="A89" s="419">
        <v>32342</v>
      </c>
      <c r="B89" s="332" t="s">
        <v>437</v>
      </c>
      <c r="C89" s="420"/>
      <c r="D89" s="420"/>
      <c r="E89" s="420">
        <f>15000+18000+35000</f>
        <v>68000</v>
      </c>
      <c r="F89" s="420">
        <v>70000</v>
      </c>
      <c r="G89" s="420">
        <v>72000</v>
      </c>
    </row>
    <row r="90" spans="1:7" x14ac:dyDescent="0.25">
      <c r="A90" s="419">
        <v>32343</v>
      </c>
      <c r="B90" s="332" t="s">
        <v>438</v>
      </c>
      <c r="C90" s="420"/>
      <c r="D90" s="420"/>
      <c r="E90" s="420">
        <f>1800+1000</f>
        <v>2800</v>
      </c>
      <c r="F90" s="420">
        <v>3300</v>
      </c>
      <c r="G90" s="420">
        <v>3800</v>
      </c>
    </row>
    <row r="91" spans="1:7" x14ac:dyDescent="0.25">
      <c r="A91" s="419" t="s">
        <v>612</v>
      </c>
      <c r="B91" s="332" t="s">
        <v>605</v>
      </c>
      <c r="C91" s="420"/>
      <c r="D91" s="420"/>
      <c r="E91" s="420">
        <f>1500+500</f>
        <v>2000</v>
      </c>
      <c r="F91" s="420">
        <v>2500</v>
      </c>
      <c r="G91" s="420">
        <v>3000</v>
      </c>
    </row>
    <row r="92" spans="1:7" x14ac:dyDescent="0.25">
      <c r="A92" s="419" t="s">
        <v>606</v>
      </c>
      <c r="B92" s="332" t="s">
        <v>609</v>
      </c>
      <c r="C92" s="420"/>
      <c r="D92" s="420"/>
      <c r="E92" s="420">
        <v>9000</v>
      </c>
      <c r="F92" s="420">
        <v>9400</v>
      </c>
      <c r="G92" s="420">
        <v>9800</v>
      </c>
    </row>
    <row r="93" spans="1:7" x14ac:dyDescent="0.25">
      <c r="A93" s="419" t="s">
        <v>607</v>
      </c>
      <c r="B93" s="332" t="s">
        <v>610</v>
      </c>
      <c r="C93" s="420"/>
      <c r="D93" s="420"/>
      <c r="E93" s="420">
        <f>2000+4000</f>
        <v>6000</v>
      </c>
      <c r="F93" s="420">
        <v>6500</v>
      </c>
      <c r="G93" s="420">
        <v>7000</v>
      </c>
    </row>
    <row r="94" spans="1:7" x14ac:dyDescent="0.25">
      <c r="A94" s="419" t="s">
        <v>608</v>
      </c>
      <c r="B94" s="332" t="s">
        <v>611</v>
      </c>
      <c r="C94" s="420"/>
      <c r="D94" s="420"/>
      <c r="E94" s="420">
        <v>150</v>
      </c>
      <c r="F94" s="420">
        <v>200</v>
      </c>
      <c r="G94" s="420">
        <v>250</v>
      </c>
    </row>
    <row r="95" spans="1:7" x14ac:dyDescent="0.25">
      <c r="A95" s="335">
        <v>32349</v>
      </c>
      <c r="B95" s="336" t="s">
        <v>439</v>
      </c>
      <c r="C95" s="420"/>
      <c r="D95" s="420"/>
      <c r="E95" s="420">
        <f>700+30000+4000</f>
        <v>34700</v>
      </c>
      <c r="F95" s="420">
        <v>36200</v>
      </c>
      <c r="G95" s="420">
        <v>37700</v>
      </c>
    </row>
    <row r="96" spans="1:7" x14ac:dyDescent="0.25">
      <c r="A96" s="424">
        <v>3235</v>
      </c>
      <c r="B96" s="425" t="s">
        <v>136</v>
      </c>
      <c r="C96" s="421">
        <f>SUM(C97:C99)</f>
        <v>0</v>
      </c>
      <c r="D96" s="421">
        <f>SUM(D97:D99)</f>
        <v>0</v>
      </c>
      <c r="E96" s="421">
        <f>SUM(E97:E99)</f>
        <v>7832.72</v>
      </c>
      <c r="F96" s="421">
        <f>SUM(F97:F99)</f>
        <v>8232.7199999999993</v>
      </c>
      <c r="G96" s="421">
        <f>SUM(G97:G99)</f>
        <v>8632.7199999999993</v>
      </c>
    </row>
    <row r="97" spans="1:7" x14ac:dyDescent="0.25">
      <c r="A97" s="335">
        <v>32353</v>
      </c>
      <c r="B97" s="334" t="s">
        <v>613</v>
      </c>
      <c r="C97" s="420"/>
      <c r="D97" s="420"/>
      <c r="E97" s="420">
        <v>1800</v>
      </c>
      <c r="F97" s="420">
        <v>2000</v>
      </c>
      <c r="G97" s="420">
        <v>2200</v>
      </c>
    </row>
    <row r="98" spans="1:7" x14ac:dyDescent="0.25">
      <c r="A98" s="335">
        <v>32354</v>
      </c>
      <c r="B98" s="334" t="s">
        <v>614</v>
      </c>
      <c r="C98" s="420"/>
      <c r="D98" s="420"/>
      <c r="E98" s="420">
        <v>5700</v>
      </c>
      <c r="F98" s="420">
        <v>5900</v>
      </c>
      <c r="G98" s="420">
        <v>6100</v>
      </c>
    </row>
    <row r="99" spans="1:7" s="394" customFormat="1" x14ac:dyDescent="0.25">
      <c r="A99" s="335">
        <v>32359</v>
      </c>
      <c r="B99" s="334" t="s">
        <v>440</v>
      </c>
      <c r="C99" s="420"/>
      <c r="D99" s="420"/>
      <c r="E99" s="420">
        <f>132.72+200</f>
        <v>332.72</v>
      </c>
      <c r="F99" s="420">
        <v>332.72</v>
      </c>
      <c r="G99" s="420">
        <v>332.72</v>
      </c>
    </row>
    <row r="100" spans="1:7" s="394" customFormat="1" x14ac:dyDescent="0.25">
      <c r="A100" s="424">
        <v>3236</v>
      </c>
      <c r="B100" s="425" t="s">
        <v>137</v>
      </c>
      <c r="C100" s="421">
        <f>SUM(C101:C104)</f>
        <v>0</v>
      </c>
      <c r="D100" s="421">
        <f>SUM(D101:D104)</f>
        <v>0</v>
      </c>
      <c r="E100" s="421">
        <f>SUM(E101:E104)</f>
        <v>463000</v>
      </c>
      <c r="F100" s="421">
        <f>SUM(F101:F104)</f>
        <v>471500</v>
      </c>
      <c r="G100" s="421">
        <f>SUM(G101:G104)</f>
        <v>480000</v>
      </c>
    </row>
    <row r="101" spans="1:7" s="394" customFormat="1" x14ac:dyDescent="0.25">
      <c r="A101" s="335">
        <v>32361</v>
      </c>
      <c r="B101" s="334" t="s">
        <v>617</v>
      </c>
      <c r="C101" s="420"/>
      <c r="D101" s="420"/>
      <c r="E101" s="420">
        <v>4000</v>
      </c>
      <c r="F101" s="420">
        <v>5000</v>
      </c>
      <c r="G101" s="420">
        <v>6000</v>
      </c>
    </row>
    <row r="102" spans="1:7" s="394" customFormat="1" x14ac:dyDescent="0.25">
      <c r="A102" s="335">
        <v>32362</v>
      </c>
      <c r="B102" s="334" t="s">
        <v>616</v>
      </c>
      <c r="C102" s="420"/>
      <c r="D102" s="420"/>
      <c r="E102" s="420">
        <v>2000</v>
      </c>
      <c r="F102" s="420">
        <v>3000</v>
      </c>
      <c r="G102" s="420">
        <v>4000</v>
      </c>
    </row>
    <row r="103" spans="1:7" s="394" customFormat="1" x14ac:dyDescent="0.25">
      <c r="A103" s="335">
        <v>32363</v>
      </c>
      <c r="B103" s="334" t="s">
        <v>615</v>
      </c>
      <c r="C103" s="420"/>
      <c r="D103" s="420"/>
      <c r="E103" s="420">
        <v>30000</v>
      </c>
      <c r="F103" s="420">
        <v>32500</v>
      </c>
      <c r="G103" s="420">
        <v>35000</v>
      </c>
    </row>
    <row r="104" spans="1:7" x14ac:dyDescent="0.25">
      <c r="A104" s="335">
        <v>32369</v>
      </c>
      <c r="B104" s="334" t="s">
        <v>137</v>
      </c>
      <c r="C104" s="420"/>
      <c r="D104" s="420"/>
      <c r="E104" s="420">
        <f>55000+32000+340000</f>
        <v>427000</v>
      </c>
      <c r="F104" s="420">
        <v>431000</v>
      </c>
      <c r="G104" s="420">
        <v>435000</v>
      </c>
    </row>
    <row r="105" spans="1:7" x14ac:dyDescent="0.25">
      <c r="A105" s="424">
        <v>3237</v>
      </c>
      <c r="B105" s="425" t="s">
        <v>138</v>
      </c>
      <c r="C105" s="421">
        <f>SUM(C106:C109)</f>
        <v>0</v>
      </c>
      <c r="D105" s="421">
        <f>SUM(D106:D109)</f>
        <v>0</v>
      </c>
      <c r="E105" s="421">
        <f>SUM(E106:E109)</f>
        <v>295500</v>
      </c>
      <c r="F105" s="421">
        <f t="shared" ref="F105:G105" si="25">SUM(F106:F109)</f>
        <v>303000</v>
      </c>
      <c r="G105" s="421">
        <f t="shared" si="25"/>
        <v>310500</v>
      </c>
    </row>
    <row r="106" spans="1:7" x14ac:dyDescent="0.25">
      <c r="A106" s="335">
        <v>32372</v>
      </c>
      <c r="B106" s="334" t="s">
        <v>442</v>
      </c>
      <c r="C106" s="420"/>
      <c r="D106" s="420"/>
      <c r="E106" s="420">
        <f>90000+100000+70000</f>
        <v>260000</v>
      </c>
      <c r="F106" s="420">
        <v>265000</v>
      </c>
      <c r="G106" s="420">
        <v>270000</v>
      </c>
    </row>
    <row r="107" spans="1:7" x14ac:dyDescent="0.25">
      <c r="A107" s="335">
        <v>32373</v>
      </c>
      <c r="B107" s="334" t="s">
        <v>443</v>
      </c>
      <c r="C107" s="420"/>
      <c r="D107" s="420"/>
      <c r="E107" s="420">
        <f>15000+10000</f>
        <v>25000</v>
      </c>
      <c r="F107" s="420">
        <v>26500</v>
      </c>
      <c r="G107" s="420">
        <v>28000</v>
      </c>
    </row>
    <row r="108" spans="1:7" x14ac:dyDescent="0.25">
      <c r="A108" s="335">
        <v>32375</v>
      </c>
      <c r="B108" s="334" t="s">
        <v>567</v>
      </c>
      <c r="C108" s="420"/>
      <c r="D108" s="420"/>
      <c r="E108" s="420">
        <v>1000</v>
      </c>
      <c r="F108" s="420">
        <v>1000</v>
      </c>
      <c r="G108" s="420">
        <v>1000</v>
      </c>
    </row>
    <row r="109" spans="1:7" x14ac:dyDescent="0.25">
      <c r="A109" s="335">
        <v>32379</v>
      </c>
      <c r="B109" s="334" t="s">
        <v>509</v>
      </c>
      <c r="C109" s="420"/>
      <c r="D109" s="420"/>
      <c r="E109" s="420">
        <f>4500+5000</f>
        <v>9500</v>
      </c>
      <c r="F109" s="420">
        <v>10500</v>
      </c>
      <c r="G109" s="420">
        <v>11500</v>
      </c>
    </row>
    <row r="110" spans="1:7" s="381" customFormat="1" x14ac:dyDescent="0.25">
      <c r="A110" s="424" t="s">
        <v>139</v>
      </c>
      <c r="B110" s="425" t="s">
        <v>140</v>
      </c>
      <c r="C110" s="421">
        <f>SUM(C111)</f>
        <v>0</v>
      </c>
      <c r="D110" s="421">
        <f>SUM(D111)</f>
        <v>0</v>
      </c>
      <c r="E110" s="421">
        <f>SUM(E111)</f>
        <v>3500</v>
      </c>
      <c r="F110" s="421">
        <f t="shared" ref="F110:G110" si="26">SUM(F111)</f>
        <v>4500</v>
      </c>
      <c r="G110" s="421">
        <f t="shared" si="26"/>
        <v>5500</v>
      </c>
    </row>
    <row r="111" spans="1:7" x14ac:dyDescent="0.25">
      <c r="A111" s="335">
        <v>32389</v>
      </c>
      <c r="B111" s="334" t="s">
        <v>444</v>
      </c>
      <c r="C111" s="420"/>
      <c r="D111" s="420"/>
      <c r="E111" s="420">
        <v>3500</v>
      </c>
      <c r="F111" s="420">
        <v>4500</v>
      </c>
      <c r="G111" s="420">
        <v>5500</v>
      </c>
    </row>
    <row r="112" spans="1:7" x14ac:dyDescent="0.25">
      <c r="A112" s="424" t="s">
        <v>141</v>
      </c>
      <c r="B112" s="425" t="s">
        <v>142</v>
      </c>
      <c r="C112" s="421">
        <f>SUM(C113:C116)</f>
        <v>0</v>
      </c>
      <c r="D112" s="421">
        <f>SUM(D113:D116)</f>
        <v>0</v>
      </c>
      <c r="E112" s="421">
        <f>SUM(E113:E116)</f>
        <v>52400</v>
      </c>
      <c r="F112" s="421">
        <f>SUM(F113:F116)</f>
        <v>56700</v>
      </c>
      <c r="G112" s="421">
        <f>SUM(G113:G116)</f>
        <v>61000</v>
      </c>
    </row>
    <row r="113" spans="1:7" x14ac:dyDescent="0.25">
      <c r="A113" s="335">
        <v>32391</v>
      </c>
      <c r="B113" s="334" t="s">
        <v>618</v>
      </c>
      <c r="C113" s="420"/>
      <c r="D113" s="420"/>
      <c r="E113" s="420">
        <v>1300</v>
      </c>
      <c r="F113" s="420">
        <v>1500</v>
      </c>
      <c r="G113" s="420">
        <v>1700</v>
      </c>
    </row>
    <row r="114" spans="1:7" x14ac:dyDescent="0.25">
      <c r="A114" s="335">
        <v>32394</v>
      </c>
      <c r="B114" s="334" t="s">
        <v>445</v>
      </c>
      <c r="C114" s="420"/>
      <c r="D114" s="420"/>
      <c r="E114" s="420">
        <f>3800+2000</f>
        <v>5800</v>
      </c>
      <c r="F114" s="420">
        <v>6400</v>
      </c>
      <c r="G114" s="420">
        <v>7000</v>
      </c>
    </row>
    <row r="115" spans="1:7" x14ac:dyDescent="0.25">
      <c r="A115" s="335">
        <v>32395</v>
      </c>
      <c r="B115" s="334" t="s">
        <v>446</v>
      </c>
      <c r="C115" s="420"/>
      <c r="D115" s="420"/>
      <c r="E115" s="420">
        <f>17000+300</f>
        <v>17300</v>
      </c>
      <c r="F115" s="420">
        <v>18300</v>
      </c>
      <c r="G115" s="420">
        <v>19300</v>
      </c>
    </row>
    <row r="116" spans="1:7" x14ac:dyDescent="0.25">
      <c r="A116" s="335">
        <v>32399</v>
      </c>
      <c r="B116" s="334" t="s">
        <v>315</v>
      </c>
      <c r="C116" s="420"/>
      <c r="D116" s="420"/>
      <c r="E116" s="420">
        <f>13000+15000</f>
        <v>28000</v>
      </c>
      <c r="F116" s="420">
        <v>30500</v>
      </c>
      <c r="G116" s="420">
        <v>33000</v>
      </c>
    </row>
    <row r="117" spans="1:7" x14ac:dyDescent="0.25">
      <c r="A117" s="422">
        <v>324</v>
      </c>
      <c r="B117" s="426" t="s">
        <v>143</v>
      </c>
      <c r="C117" s="380">
        <f t="shared" ref="C117:E118" si="27">SUM(C118)</f>
        <v>0</v>
      </c>
      <c r="D117" s="380">
        <f t="shared" si="27"/>
        <v>0</v>
      </c>
      <c r="E117" s="380">
        <f t="shared" si="27"/>
        <v>400</v>
      </c>
      <c r="F117" s="380">
        <f t="shared" ref="F117:G118" si="28">SUM(F118)</f>
        <v>400</v>
      </c>
      <c r="G117" s="380">
        <f t="shared" si="28"/>
        <v>400</v>
      </c>
    </row>
    <row r="118" spans="1:7" x14ac:dyDescent="0.25">
      <c r="A118" s="422">
        <v>3241</v>
      </c>
      <c r="B118" s="426" t="s">
        <v>143</v>
      </c>
      <c r="C118" s="380">
        <f t="shared" si="27"/>
        <v>0</v>
      </c>
      <c r="D118" s="380">
        <f t="shared" si="27"/>
        <v>0</v>
      </c>
      <c r="E118" s="380">
        <f t="shared" si="27"/>
        <v>400</v>
      </c>
      <c r="F118" s="380">
        <f t="shared" si="28"/>
        <v>400</v>
      </c>
      <c r="G118" s="380">
        <f t="shared" si="28"/>
        <v>400</v>
      </c>
    </row>
    <row r="119" spans="1:7" x14ac:dyDescent="0.25">
      <c r="A119" s="423" t="s">
        <v>510</v>
      </c>
      <c r="B119" s="427" t="s">
        <v>456</v>
      </c>
      <c r="C119" s="420">
        <v>0</v>
      </c>
      <c r="D119" s="420"/>
      <c r="E119" s="420">
        <v>400</v>
      </c>
      <c r="F119" s="420">
        <v>400</v>
      </c>
      <c r="G119" s="420">
        <v>400</v>
      </c>
    </row>
    <row r="120" spans="1:7" s="381" customFormat="1" x14ac:dyDescent="0.25">
      <c r="A120" s="422" t="s">
        <v>583</v>
      </c>
      <c r="B120" s="426" t="s">
        <v>638</v>
      </c>
      <c r="C120" s="421">
        <f>C121+C124+C126</f>
        <v>0</v>
      </c>
      <c r="D120" s="421">
        <f>D121+D124+D126</f>
        <v>0</v>
      </c>
      <c r="E120" s="421">
        <f>E121+E124+E126</f>
        <v>2675733</v>
      </c>
      <c r="F120" s="421">
        <f>F121+F124+F126</f>
        <v>2753733</v>
      </c>
      <c r="G120" s="421">
        <f>G121+G124+G126</f>
        <v>2834233</v>
      </c>
    </row>
    <row r="121" spans="1:7" s="381" customFormat="1" x14ac:dyDescent="0.25">
      <c r="A121" s="422" t="s">
        <v>584</v>
      </c>
      <c r="B121" s="426" t="s">
        <v>638</v>
      </c>
      <c r="C121" s="421">
        <f>C122+C123</f>
        <v>0</v>
      </c>
      <c r="D121" s="421">
        <f>D122+D123</f>
        <v>0</v>
      </c>
      <c r="E121" s="421">
        <f>E122+E123</f>
        <v>990000</v>
      </c>
      <c r="F121" s="421">
        <f>F122+F123</f>
        <v>1037000</v>
      </c>
      <c r="G121" s="421">
        <f>G122+G123</f>
        <v>1085700</v>
      </c>
    </row>
    <row r="122" spans="1:7" x14ac:dyDescent="0.25">
      <c r="A122" s="423" t="s">
        <v>585</v>
      </c>
      <c r="B122" s="427" t="s">
        <v>587</v>
      </c>
      <c r="C122" s="420"/>
      <c r="D122" s="420"/>
      <c r="E122" s="420">
        <f>40000+20000</f>
        <v>60000</v>
      </c>
      <c r="F122" s="420">
        <v>73000</v>
      </c>
      <c r="G122" s="420">
        <v>87000</v>
      </c>
    </row>
    <row r="123" spans="1:7" x14ac:dyDescent="0.25">
      <c r="A123" s="423" t="s">
        <v>586</v>
      </c>
      <c r="B123" s="427" t="s">
        <v>588</v>
      </c>
      <c r="C123" s="420"/>
      <c r="D123" s="420"/>
      <c r="E123" s="420">
        <f>220000+250000+460000</f>
        <v>930000</v>
      </c>
      <c r="F123" s="420">
        <v>964000</v>
      </c>
      <c r="G123" s="420">
        <v>998700</v>
      </c>
    </row>
    <row r="124" spans="1:7" s="381" customFormat="1" x14ac:dyDescent="0.25">
      <c r="A124" s="422" t="s">
        <v>619</v>
      </c>
      <c r="B124" s="426" t="s">
        <v>621</v>
      </c>
      <c r="C124" s="421">
        <f>C125</f>
        <v>0</v>
      </c>
      <c r="D124" s="421">
        <f>D125</f>
        <v>0</v>
      </c>
      <c r="E124" s="421">
        <f>E125</f>
        <v>5000</v>
      </c>
      <c r="F124" s="421">
        <f>F125</f>
        <v>6000</v>
      </c>
      <c r="G124" s="421">
        <f>G125</f>
        <v>7000</v>
      </c>
    </row>
    <row r="125" spans="1:7" x14ac:dyDescent="0.25">
      <c r="A125" s="423" t="s">
        <v>620</v>
      </c>
      <c r="B125" s="427" t="s">
        <v>626</v>
      </c>
      <c r="C125" s="420"/>
      <c r="D125" s="420"/>
      <c r="E125" s="420">
        <v>5000</v>
      </c>
      <c r="F125" s="420">
        <v>6000</v>
      </c>
      <c r="G125" s="420">
        <v>7000</v>
      </c>
    </row>
    <row r="126" spans="1:7" s="381" customFormat="1" x14ac:dyDescent="0.25">
      <c r="A126" s="422" t="s">
        <v>622</v>
      </c>
      <c r="B126" s="426" t="s">
        <v>624</v>
      </c>
      <c r="C126" s="421">
        <f>C127</f>
        <v>0</v>
      </c>
      <c r="D126" s="421">
        <f>D127</f>
        <v>0</v>
      </c>
      <c r="E126" s="421">
        <f>E127</f>
        <v>1680733</v>
      </c>
      <c r="F126" s="421">
        <f>F127</f>
        <v>1710733</v>
      </c>
      <c r="G126" s="421">
        <f>G127</f>
        <v>1741533</v>
      </c>
    </row>
    <row r="127" spans="1:7" x14ac:dyDescent="0.25">
      <c r="A127" s="423" t="s">
        <v>623</v>
      </c>
      <c r="B127" s="427" t="s">
        <v>625</v>
      </c>
      <c r="C127" s="420"/>
      <c r="D127" s="420"/>
      <c r="E127" s="420">
        <v>1680733</v>
      </c>
      <c r="F127" s="420">
        <v>1710733</v>
      </c>
      <c r="G127" s="420">
        <v>1741533</v>
      </c>
    </row>
    <row r="128" spans="1:7" x14ac:dyDescent="0.25">
      <c r="A128" s="424">
        <v>329</v>
      </c>
      <c r="B128" s="425" t="s">
        <v>144</v>
      </c>
      <c r="C128" s="380">
        <f>C129+C131+C135+C137+C139+C144+C146</f>
        <v>0</v>
      </c>
      <c r="D128" s="380">
        <f>D129+D131+D135+D137+D139+D144+D146</f>
        <v>0</v>
      </c>
      <c r="E128" s="380">
        <f>E129+E131+E135+E137+E139+E144+E146</f>
        <v>120680</v>
      </c>
      <c r="F128" s="380">
        <f t="shared" ref="F128:G128" si="29">F129+F131+F135+F137+F139+F144+F146</f>
        <v>129740</v>
      </c>
      <c r="G128" s="380">
        <f t="shared" si="29"/>
        <v>140100</v>
      </c>
    </row>
    <row r="129" spans="1:7" x14ac:dyDescent="0.25">
      <c r="A129" s="424" t="s">
        <v>145</v>
      </c>
      <c r="B129" s="425" t="s">
        <v>146</v>
      </c>
      <c r="C129" s="380">
        <f>SUM(C130)</f>
        <v>0</v>
      </c>
      <c r="D129" s="380">
        <f>SUM(D130)</f>
        <v>0</v>
      </c>
      <c r="E129" s="380">
        <f>SUM(E130)</f>
        <v>25500</v>
      </c>
      <c r="F129" s="380">
        <f t="shared" ref="F129:G129" si="30">SUM(F130)</f>
        <v>27500</v>
      </c>
      <c r="G129" s="380">
        <f t="shared" si="30"/>
        <v>30500</v>
      </c>
    </row>
    <row r="130" spans="1:7" x14ac:dyDescent="0.25">
      <c r="A130" s="335">
        <v>32911</v>
      </c>
      <c r="B130" s="334" t="s">
        <v>146</v>
      </c>
      <c r="C130" s="428"/>
      <c r="D130" s="428"/>
      <c r="E130" s="428">
        <f>7000+9000+9500</f>
        <v>25500</v>
      </c>
      <c r="F130" s="428">
        <v>27500</v>
      </c>
      <c r="G130" s="428">
        <v>30500</v>
      </c>
    </row>
    <row r="131" spans="1:7" x14ac:dyDescent="0.25">
      <c r="A131" s="424">
        <v>3292</v>
      </c>
      <c r="B131" s="425" t="s">
        <v>147</v>
      </c>
      <c r="C131" s="429">
        <f>SUM(C132:C134)</f>
        <v>0</v>
      </c>
      <c r="D131" s="429">
        <f>SUM(D132:D134)</f>
        <v>0</v>
      </c>
      <c r="E131" s="429">
        <f>SUM(E132:E134)</f>
        <v>72000</v>
      </c>
      <c r="F131" s="429">
        <f t="shared" ref="F131:G131" si="31">SUM(F132:F134)</f>
        <v>76200</v>
      </c>
      <c r="G131" s="429">
        <f t="shared" si="31"/>
        <v>80700</v>
      </c>
    </row>
    <row r="132" spans="1:7" x14ac:dyDescent="0.25">
      <c r="A132" s="335">
        <v>32921</v>
      </c>
      <c r="B132" s="334" t="s">
        <v>450</v>
      </c>
      <c r="C132" s="428"/>
      <c r="D132" s="428"/>
      <c r="E132" s="428">
        <f>7000+500+4000</f>
        <v>11500</v>
      </c>
      <c r="F132" s="428">
        <v>12500</v>
      </c>
      <c r="G132" s="428">
        <v>13500</v>
      </c>
    </row>
    <row r="133" spans="1:7" x14ac:dyDescent="0.25">
      <c r="A133" s="335">
        <v>32922</v>
      </c>
      <c r="B133" s="334" t="s">
        <v>449</v>
      </c>
      <c r="C133" s="428"/>
      <c r="D133" s="428"/>
      <c r="E133" s="428">
        <f>30000+2800</f>
        <v>32800</v>
      </c>
      <c r="F133" s="428">
        <v>34000</v>
      </c>
      <c r="G133" s="428">
        <v>35500</v>
      </c>
    </row>
    <row r="134" spans="1:7" x14ac:dyDescent="0.25">
      <c r="A134" s="335">
        <v>32923</v>
      </c>
      <c r="B134" s="334" t="s">
        <v>447</v>
      </c>
      <c r="C134" s="420"/>
      <c r="D134" s="420"/>
      <c r="E134" s="420">
        <f>3500+16000+8200</f>
        <v>27700</v>
      </c>
      <c r="F134" s="420">
        <v>29700</v>
      </c>
      <c r="G134" s="420">
        <v>31700</v>
      </c>
    </row>
    <row r="135" spans="1:7" x14ac:dyDescent="0.25">
      <c r="A135" s="424">
        <v>3293</v>
      </c>
      <c r="B135" s="425" t="s">
        <v>148</v>
      </c>
      <c r="C135" s="421">
        <f>SUM(C136)</f>
        <v>0</v>
      </c>
      <c r="D135" s="421">
        <f>SUM(D136)</f>
        <v>0</v>
      </c>
      <c r="E135" s="421">
        <f>SUM(E136)</f>
        <v>3350</v>
      </c>
      <c r="F135" s="421">
        <f t="shared" ref="F135:G135" si="32">SUM(F136)</f>
        <v>3750</v>
      </c>
      <c r="G135" s="421">
        <f t="shared" si="32"/>
        <v>4250</v>
      </c>
    </row>
    <row r="136" spans="1:7" x14ac:dyDescent="0.25">
      <c r="A136" s="335">
        <v>32931</v>
      </c>
      <c r="B136" s="334" t="s">
        <v>148</v>
      </c>
      <c r="C136" s="420"/>
      <c r="D136" s="420"/>
      <c r="E136" s="420">
        <v>3350</v>
      </c>
      <c r="F136" s="420">
        <v>3750</v>
      </c>
      <c r="G136" s="420">
        <v>4250</v>
      </c>
    </row>
    <row r="137" spans="1:7" x14ac:dyDescent="0.25">
      <c r="A137" s="424">
        <v>3294</v>
      </c>
      <c r="B137" s="425" t="s">
        <v>149</v>
      </c>
      <c r="C137" s="421">
        <f>SUM(C138)</f>
        <v>0</v>
      </c>
      <c r="D137" s="421">
        <f>SUM(D138)</f>
        <v>0</v>
      </c>
      <c r="E137" s="421">
        <f>SUM(E138)</f>
        <v>5750</v>
      </c>
      <c r="F137" s="421">
        <f t="shared" ref="F137:G137" si="33">SUM(F138)</f>
        <v>6000</v>
      </c>
      <c r="G137" s="421">
        <f t="shared" si="33"/>
        <v>6250</v>
      </c>
    </row>
    <row r="138" spans="1:7" x14ac:dyDescent="0.25">
      <c r="A138" s="335">
        <v>32941</v>
      </c>
      <c r="B138" s="334" t="s">
        <v>451</v>
      </c>
      <c r="C138" s="420"/>
      <c r="D138" s="420"/>
      <c r="E138" s="420">
        <f>2750+3000</f>
        <v>5750</v>
      </c>
      <c r="F138" s="420">
        <v>6000</v>
      </c>
      <c r="G138" s="420">
        <v>6250</v>
      </c>
    </row>
    <row r="139" spans="1:7" x14ac:dyDescent="0.25">
      <c r="A139" s="340">
        <v>3295</v>
      </c>
      <c r="B139" s="341" t="s">
        <v>150</v>
      </c>
      <c r="C139" s="421">
        <f>SUM(C140:C143)</f>
        <v>0</v>
      </c>
      <c r="D139" s="421">
        <f>SUM(D140:D143)</f>
        <v>0</v>
      </c>
      <c r="E139" s="421">
        <f>SUM(E140:E143)</f>
        <v>4360</v>
      </c>
      <c r="F139" s="421">
        <f>SUM(F140:F143)</f>
        <v>4970</v>
      </c>
      <c r="G139" s="421">
        <f>SUM(G140:G143)</f>
        <v>5480</v>
      </c>
    </row>
    <row r="140" spans="1:7" x14ac:dyDescent="0.25">
      <c r="A140" s="337">
        <v>32951</v>
      </c>
      <c r="B140" s="336" t="s">
        <v>627</v>
      </c>
      <c r="C140" s="420"/>
      <c r="D140" s="420"/>
      <c r="E140" s="420">
        <v>10</v>
      </c>
      <c r="F140" s="420">
        <v>20</v>
      </c>
      <c r="G140" s="420">
        <v>30</v>
      </c>
    </row>
    <row r="141" spans="1:7" x14ac:dyDescent="0.25">
      <c r="A141" s="337">
        <v>32952</v>
      </c>
      <c r="B141" s="336" t="s">
        <v>453</v>
      </c>
      <c r="C141" s="420"/>
      <c r="D141" s="420"/>
      <c r="E141" s="420">
        <f>300+800</f>
        <v>1100</v>
      </c>
      <c r="F141" s="420">
        <v>1300</v>
      </c>
      <c r="G141" s="420">
        <v>1400</v>
      </c>
    </row>
    <row r="142" spans="1:7" x14ac:dyDescent="0.25">
      <c r="A142" s="337">
        <v>32953</v>
      </c>
      <c r="B142" s="336" t="s">
        <v>454</v>
      </c>
      <c r="C142" s="420"/>
      <c r="D142" s="420"/>
      <c r="E142" s="420">
        <f>50+750</f>
        <v>800</v>
      </c>
      <c r="F142" s="420">
        <v>900</v>
      </c>
      <c r="G142" s="420">
        <v>1000</v>
      </c>
    </row>
    <row r="143" spans="1:7" x14ac:dyDescent="0.25">
      <c r="A143" s="337">
        <v>32959</v>
      </c>
      <c r="B143" s="336" t="s">
        <v>452</v>
      </c>
      <c r="C143" s="420"/>
      <c r="D143" s="420"/>
      <c r="E143" s="420">
        <f>2000+450</f>
        <v>2450</v>
      </c>
      <c r="F143" s="420">
        <v>2750</v>
      </c>
      <c r="G143" s="420">
        <v>3050</v>
      </c>
    </row>
    <row r="144" spans="1:7" x14ac:dyDescent="0.25">
      <c r="A144" s="340">
        <v>3296</v>
      </c>
      <c r="B144" s="341" t="s">
        <v>151</v>
      </c>
      <c r="C144" s="421">
        <f>SUM(C145)</f>
        <v>0</v>
      </c>
      <c r="D144" s="421">
        <f>SUM(D145)</f>
        <v>0</v>
      </c>
      <c r="E144" s="421">
        <f>SUM(E145)</f>
        <v>4000</v>
      </c>
      <c r="F144" s="421">
        <f t="shared" ref="F144:G144" si="34">SUM(F145)</f>
        <v>4500</v>
      </c>
      <c r="G144" s="421">
        <f t="shared" si="34"/>
        <v>5000</v>
      </c>
    </row>
    <row r="145" spans="1:7" x14ac:dyDescent="0.25">
      <c r="A145" s="337">
        <v>32961</v>
      </c>
      <c r="B145" s="336" t="s">
        <v>151</v>
      </c>
      <c r="C145" s="420"/>
      <c r="D145" s="420"/>
      <c r="E145" s="420">
        <v>4000</v>
      </c>
      <c r="F145" s="420">
        <v>4500</v>
      </c>
      <c r="G145" s="420">
        <v>5000</v>
      </c>
    </row>
    <row r="146" spans="1:7" x14ac:dyDescent="0.25">
      <c r="A146" s="340" t="s">
        <v>152</v>
      </c>
      <c r="B146" s="341" t="s">
        <v>144</v>
      </c>
      <c r="C146" s="421">
        <f>SUM(C147:C148)</f>
        <v>0</v>
      </c>
      <c r="D146" s="421">
        <f>SUM(D147:D148)</f>
        <v>0</v>
      </c>
      <c r="E146" s="421">
        <f>SUM(E147:E148)</f>
        <v>5720</v>
      </c>
      <c r="F146" s="421">
        <f t="shared" ref="F146:G146" si="35">SUM(F147:F148)</f>
        <v>6820</v>
      </c>
      <c r="G146" s="421">
        <f t="shared" si="35"/>
        <v>7920</v>
      </c>
    </row>
    <row r="147" spans="1:7" x14ac:dyDescent="0.25">
      <c r="A147" s="337">
        <v>32991</v>
      </c>
      <c r="B147" s="336" t="s">
        <v>455</v>
      </c>
      <c r="C147" s="420"/>
      <c r="D147" s="420"/>
      <c r="E147" s="420">
        <v>200</v>
      </c>
      <c r="F147" s="420">
        <v>300</v>
      </c>
      <c r="G147" s="420">
        <v>400</v>
      </c>
    </row>
    <row r="148" spans="1:7" x14ac:dyDescent="0.25">
      <c r="A148" s="337">
        <v>32999</v>
      </c>
      <c r="B148" s="336" t="s">
        <v>144</v>
      </c>
      <c r="C148" s="420"/>
      <c r="D148" s="420"/>
      <c r="E148" s="420">
        <f>5500+20</f>
        <v>5520</v>
      </c>
      <c r="F148" s="420">
        <v>6520</v>
      </c>
      <c r="G148" s="420">
        <v>7520</v>
      </c>
    </row>
    <row r="149" spans="1:7" x14ac:dyDescent="0.25">
      <c r="A149" s="415">
        <v>34</v>
      </c>
      <c r="B149" s="416" t="s">
        <v>153</v>
      </c>
      <c r="C149" s="408">
        <f>C150</f>
        <v>0</v>
      </c>
      <c r="D149" s="408">
        <f>D150</f>
        <v>0</v>
      </c>
      <c r="E149" s="408">
        <f>E150</f>
        <v>25075</v>
      </c>
      <c r="F149" s="408">
        <f t="shared" ref="F149" si="36">F150</f>
        <v>24770</v>
      </c>
      <c r="G149" s="408">
        <f t="shared" ref="G149" si="37">G150</f>
        <v>25065</v>
      </c>
    </row>
    <row r="150" spans="1:7" s="381" customFormat="1" x14ac:dyDescent="0.25">
      <c r="A150" s="424">
        <v>343</v>
      </c>
      <c r="B150" s="425" t="s">
        <v>154</v>
      </c>
      <c r="C150" s="380">
        <f>C151+C154+C155+C160</f>
        <v>0</v>
      </c>
      <c r="D150" s="380">
        <f>D151+D154+D155+D160</f>
        <v>0</v>
      </c>
      <c r="E150" s="380">
        <f>E151+E154+E155+E160</f>
        <v>25075</v>
      </c>
      <c r="F150" s="380">
        <f>F151+F154+F155+F160</f>
        <v>24770</v>
      </c>
      <c r="G150" s="380">
        <f>G151+G154+G155+G160</f>
        <v>25065</v>
      </c>
    </row>
    <row r="151" spans="1:7" s="381" customFormat="1" x14ac:dyDescent="0.25">
      <c r="A151" s="424" t="s">
        <v>155</v>
      </c>
      <c r="B151" s="425" t="s">
        <v>156</v>
      </c>
      <c r="C151" s="380">
        <f>SUM(C152:C153)</f>
        <v>0</v>
      </c>
      <c r="D151" s="380">
        <f>SUM(D152:D153)</f>
        <v>0</v>
      </c>
      <c r="E151" s="380">
        <f>SUM(E152:E153)</f>
        <v>23500</v>
      </c>
      <c r="F151" s="380">
        <f>SUM(F152:F153)</f>
        <v>23250</v>
      </c>
      <c r="G151" s="380">
        <f>SUM(G152:G153)</f>
        <v>23500</v>
      </c>
    </row>
    <row r="152" spans="1:7" x14ac:dyDescent="0.25">
      <c r="A152" s="335">
        <v>34311</v>
      </c>
      <c r="B152" s="334" t="s">
        <v>628</v>
      </c>
      <c r="C152" s="403"/>
      <c r="D152" s="403"/>
      <c r="E152" s="403">
        <v>13000</v>
      </c>
      <c r="F152" s="403">
        <v>13000</v>
      </c>
      <c r="G152" s="403">
        <v>13000</v>
      </c>
    </row>
    <row r="153" spans="1:7" x14ac:dyDescent="0.25">
      <c r="A153" s="335">
        <v>34312</v>
      </c>
      <c r="B153" s="334" t="s">
        <v>457</v>
      </c>
      <c r="C153" s="420"/>
      <c r="D153" s="420"/>
      <c r="E153" s="420">
        <f>4500+6000</f>
        <v>10500</v>
      </c>
      <c r="F153" s="420">
        <v>10250</v>
      </c>
      <c r="G153" s="420">
        <v>10500</v>
      </c>
    </row>
    <row r="154" spans="1:7" hidden="1" x14ac:dyDescent="0.25">
      <c r="A154" s="424">
        <v>3432</v>
      </c>
      <c r="B154" s="425" t="s">
        <v>205</v>
      </c>
      <c r="C154" s="421"/>
      <c r="D154" s="421"/>
      <c r="E154" s="421"/>
      <c r="F154" s="421"/>
      <c r="G154" s="421"/>
    </row>
    <row r="155" spans="1:7" x14ac:dyDescent="0.25">
      <c r="A155" s="340">
        <v>3433</v>
      </c>
      <c r="B155" s="341" t="s">
        <v>157</v>
      </c>
      <c r="C155" s="421">
        <f>SUM(C156:C159)</f>
        <v>0</v>
      </c>
      <c r="D155" s="421">
        <f>SUM(D156:D159)</f>
        <v>0</v>
      </c>
      <c r="E155" s="421">
        <f>SUM(E156:E159)</f>
        <v>1575</v>
      </c>
      <c r="F155" s="421">
        <f t="shared" ref="F155:G155" si="38">SUM(F156:F159)</f>
        <v>1520</v>
      </c>
      <c r="G155" s="421">
        <f t="shared" si="38"/>
        <v>1565</v>
      </c>
    </row>
    <row r="156" spans="1:7" x14ac:dyDescent="0.25">
      <c r="A156" s="335">
        <v>34331</v>
      </c>
      <c r="B156" s="334" t="s">
        <v>458</v>
      </c>
      <c r="C156" s="420"/>
      <c r="D156" s="420"/>
      <c r="E156" s="420">
        <v>25</v>
      </c>
      <c r="F156" s="420">
        <v>30</v>
      </c>
      <c r="G156" s="420">
        <v>35</v>
      </c>
    </row>
    <row r="157" spans="1:7" x14ac:dyDescent="0.25">
      <c r="A157" s="335">
        <v>34332</v>
      </c>
      <c r="B157" s="334" t="s">
        <v>459</v>
      </c>
      <c r="C157" s="420"/>
      <c r="D157" s="420"/>
      <c r="E157" s="420">
        <v>350</v>
      </c>
      <c r="F157" s="420">
        <v>350</v>
      </c>
      <c r="G157" s="420">
        <v>350</v>
      </c>
    </row>
    <row r="158" spans="1:7" x14ac:dyDescent="0.25">
      <c r="A158" s="335">
        <v>34333</v>
      </c>
      <c r="B158" s="334" t="s">
        <v>460</v>
      </c>
      <c r="C158" s="420"/>
      <c r="D158" s="420"/>
      <c r="E158" s="420">
        <f>100+500</f>
        <v>600</v>
      </c>
      <c r="F158" s="420">
        <v>515</v>
      </c>
      <c r="G158" s="420">
        <v>530</v>
      </c>
    </row>
    <row r="159" spans="1:7" ht="15" customHeight="1" x14ac:dyDescent="0.25">
      <c r="A159" s="337">
        <v>34339</v>
      </c>
      <c r="B159" s="336" t="s">
        <v>461</v>
      </c>
      <c r="C159" s="420"/>
      <c r="D159" s="420"/>
      <c r="E159" s="420">
        <v>600</v>
      </c>
      <c r="F159" s="420">
        <v>625</v>
      </c>
      <c r="G159" s="420">
        <v>650</v>
      </c>
    </row>
    <row r="160" spans="1:7" hidden="1" x14ac:dyDescent="0.25">
      <c r="A160" s="340">
        <v>3434</v>
      </c>
      <c r="B160" s="341" t="s">
        <v>301</v>
      </c>
      <c r="C160" s="421">
        <f>C161</f>
        <v>0</v>
      </c>
      <c r="D160" s="421">
        <f>D161</f>
        <v>0</v>
      </c>
      <c r="E160" s="421">
        <f>E161</f>
        <v>0</v>
      </c>
      <c r="F160" s="421">
        <f>F161</f>
        <v>0</v>
      </c>
      <c r="G160" s="421">
        <f>G161</f>
        <v>0</v>
      </c>
    </row>
    <row r="161" spans="1:7" hidden="1" x14ac:dyDescent="0.25">
      <c r="A161" s="337">
        <v>34349</v>
      </c>
      <c r="B161" s="336" t="s">
        <v>301</v>
      </c>
      <c r="C161" s="420"/>
      <c r="D161" s="420"/>
      <c r="E161" s="420"/>
      <c r="F161" s="420"/>
      <c r="G161" s="420"/>
    </row>
    <row r="162" spans="1:7" s="381" customFormat="1" hidden="1" x14ac:dyDescent="0.25">
      <c r="A162" s="430">
        <v>36</v>
      </c>
      <c r="B162" s="431" t="s">
        <v>302</v>
      </c>
      <c r="C162" s="432">
        <f t="shared" ref="C162:G163" si="39">C163</f>
        <v>0</v>
      </c>
      <c r="D162" s="432">
        <f t="shared" si="39"/>
        <v>0</v>
      </c>
      <c r="E162" s="432">
        <f t="shared" si="39"/>
        <v>0</v>
      </c>
      <c r="F162" s="432">
        <f t="shared" si="39"/>
        <v>0</v>
      </c>
      <c r="G162" s="432">
        <f t="shared" si="39"/>
        <v>0</v>
      </c>
    </row>
    <row r="163" spans="1:7" s="381" customFormat="1" hidden="1" x14ac:dyDescent="0.25">
      <c r="A163" s="340">
        <v>369</v>
      </c>
      <c r="B163" s="341" t="s">
        <v>325</v>
      </c>
      <c r="C163" s="421">
        <f t="shared" si="39"/>
        <v>0</v>
      </c>
      <c r="D163" s="421">
        <f t="shared" si="39"/>
        <v>0</v>
      </c>
      <c r="E163" s="421">
        <f t="shared" si="39"/>
        <v>0</v>
      </c>
      <c r="F163" s="421">
        <f t="shared" si="39"/>
        <v>0</v>
      </c>
      <c r="G163" s="421">
        <f t="shared" si="39"/>
        <v>0</v>
      </c>
    </row>
    <row r="164" spans="1:7" hidden="1" x14ac:dyDescent="0.25">
      <c r="A164" s="337">
        <v>3692</v>
      </c>
      <c r="B164" s="336" t="s">
        <v>326</v>
      </c>
      <c r="C164" s="420"/>
      <c r="D164" s="420"/>
      <c r="E164" s="420"/>
      <c r="F164" s="420"/>
      <c r="G164" s="420"/>
    </row>
    <row r="165" spans="1:7" s="381" customFormat="1" x14ac:dyDescent="0.25">
      <c r="A165" s="430">
        <v>37</v>
      </c>
      <c r="B165" s="431" t="s">
        <v>327</v>
      </c>
      <c r="C165" s="408">
        <f t="shared" ref="C165:G166" si="40">C166</f>
        <v>0</v>
      </c>
      <c r="D165" s="408">
        <f t="shared" si="40"/>
        <v>0</v>
      </c>
      <c r="E165" s="408">
        <f t="shared" si="40"/>
        <v>1500</v>
      </c>
      <c r="F165" s="408">
        <f t="shared" si="40"/>
        <v>1500</v>
      </c>
      <c r="G165" s="408">
        <f t="shared" si="40"/>
        <v>1500</v>
      </c>
    </row>
    <row r="166" spans="1:7" s="381" customFormat="1" x14ac:dyDescent="0.25">
      <c r="A166" s="340">
        <v>372</v>
      </c>
      <c r="B166" s="341" t="s">
        <v>163</v>
      </c>
      <c r="C166" s="380">
        <f t="shared" si="40"/>
        <v>0</v>
      </c>
      <c r="D166" s="380">
        <f t="shared" si="40"/>
        <v>0</v>
      </c>
      <c r="E166" s="380">
        <f t="shared" si="40"/>
        <v>1500</v>
      </c>
      <c r="F166" s="380">
        <f t="shared" si="40"/>
        <v>1500</v>
      </c>
      <c r="G166" s="380">
        <f t="shared" si="40"/>
        <v>1500</v>
      </c>
    </row>
    <row r="167" spans="1:7" s="381" customFormat="1" x14ac:dyDescent="0.25">
      <c r="A167" s="340">
        <v>3721</v>
      </c>
      <c r="B167" s="341" t="s">
        <v>328</v>
      </c>
      <c r="C167" s="380">
        <f>SUM(C168:C169)</f>
        <v>0</v>
      </c>
      <c r="D167" s="380">
        <f>SUM(D168:D169)</f>
        <v>0</v>
      </c>
      <c r="E167" s="380">
        <f>SUM(E168:E169)</f>
        <v>1500</v>
      </c>
      <c r="F167" s="380">
        <f t="shared" ref="F167:G167" si="41">SUM(F168:F169)</f>
        <v>1500</v>
      </c>
      <c r="G167" s="380">
        <f t="shared" si="41"/>
        <v>1500</v>
      </c>
    </row>
    <row r="168" spans="1:7" s="381" customFormat="1" x14ac:dyDescent="0.25">
      <c r="A168" s="337">
        <v>37212</v>
      </c>
      <c r="B168" s="336" t="s">
        <v>511</v>
      </c>
      <c r="C168" s="403"/>
      <c r="D168" s="403"/>
      <c r="E168" s="403">
        <v>1000</v>
      </c>
      <c r="F168" s="403">
        <v>1000</v>
      </c>
      <c r="G168" s="403">
        <v>1000</v>
      </c>
    </row>
    <row r="169" spans="1:7" x14ac:dyDescent="0.25">
      <c r="A169" s="337">
        <v>37215</v>
      </c>
      <c r="B169" s="336" t="s">
        <v>463</v>
      </c>
      <c r="C169" s="420"/>
      <c r="D169" s="420"/>
      <c r="E169" s="420">
        <v>500</v>
      </c>
      <c r="F169" s="420">
        <v>500</v>
      </c>
      <c r="G169" s="420">
        <v>500</v>
      </c>
    </row>
    <row r="170" spans="1:7" x14ac:dyDescent="0.25">
      <c r="A170" s="415" t="s">
        <v>165</v>
      </c>
      <c r="B170" s="416" t="s">
        <v>98</v>
      </c>
      <c r="C170" s="408">
        <f>C171+C173+C179</f>
        <v>0</v>
      </c>
      <c r="D170" s="408">
        <f>D171+D173+D179</f>
        <v>0</v>
      </c>
      <c r="E170" s="408">
        <f>E171+E173+E179</f>
        <v>2000</v>
      </c>
      <c r="F170" s="408">
        <f t="shared" ref="F170:G170" si="42">F171+F173+F179</f>
        <v>500</v>
      </c>
      <c r="G170" s="408">
        <f t="shared" si="42"/>
        <v>500</v>
      </c>
    </row>
    <row r="171" spans="1:7" s="381" customFormat="1" hidden="1" x14ac:dyDescent="0.25">
      <c r="A171" s="417" t="s">
        <v>166</v>
      </c>
      <c r="B171" s="433" t="s">
        <v>167</v>
      </c>
      <c r="C171" s="380">
        <f>C172</f>
        <v>0</v>
      </c>
      <c r="D171" s="380">
        <f>D172</f>
        <v>0</v>
      </c>
      <c r="E171" s="380">
        <f>E172</f>
        <v>0</v>
      </c>
      <c r="F171" s="380">
        <f t="shared" ref="F171:G171" si="43">F172</f>
        <v>0</v>
      </c>
      <c r="G171" s="380">
        <f t="shared" si="43"/>
        <v>0</v>
      </c>
    </row>
    <row r="172" spans="1:7" hidden="1" x14ac:dyDescent="0.25">
      <c r="A172" s="417" t="s">
        <v>168</v>
      </c>
      <c r="B172" s="433" t="s">
        <v>167</v>
      </c>
      <c r="C172" s="421"/>
      <c r="D172" s="421"/>
      <c r="E172" s="421"/>
      <c r="F172" s="421"/>
      <c r="G172" s="421"/>
    </row>
    <row r="173" spans="1:7" x14ac:dyDescent="0.25">
      <c r="A173" s="340">
        <v>383</v>
      </c>
      <c r="B173" s="341" t="s">
        <v>169</v>
      </c>
      <c r="C173" s="380">
        <f>C174+C175+C176+C178+C180</f>
        <v>0</v>
      </c>
      <c r="D173" s="380">
        <f>D174+D175+D176+D178+D180</f>
        <v>0</v>
      </c>
      <c r="E173" s="380">
        <f>E174+E175+E176+E178+E180</f>
        <v>2000</v>
      </c>
      <c r="F173" s="380">
        <f t="shared" ref="F173:G173" si="44">F174+F175+F176+F178+F180</f>
        <v>500</v>
      </c>
      <c r="G173" s="380">
        <f t="shared" si="44"/>
        <v>500</v>
      </c>
    </row>
    <row r="174" spans="1:7" hidden="1" x14ac:dyDescent="0.25">
      <c r="A174" s="340">
        <v>3831</v>
      </c>
      <c r="B174" s="341" t="s">
        <v>329</v>
      </c>
      <c r="C174" s="421"/>
      <c r="D174" s="421"/>
      <c r="E174" s="421"/>
      <c r="F174" s="421"/>
      <c r="G174" s="421"/>
    </row>
    <row r="175" spans="1:7" s="394" customFormat="1" hidden="1" x14ac:dyDescent="0.25">
      <c r="A175" s="340">
        <v>3833</v>
      </c>
      <c r="B175" s="341" t="s">
        <v>171</v>
      </c>
      <c r="C175" s="421"/>
      <c r="D175" s="421"/>
      <c r="E175" s="421"/>
      <c r="F175" s="421"/>
      <c r="G175" s="421"/>
    </row>
    <row r="176" spans="1:7" s="394" customFormat="1" x14ac:dyDescent="0.25">
      <c r="A176" s="340">
        <v>3834</v>
      </c>
      <c r="B176" s="341" t="s">
        <v>172</v>
      </c>
      <c r="C176" s="421">
        <f>SUM(C177)</f>
        <v>0</v>
      </c>
      <c r="D176" s="421">
        <f>SUM(D177)</f>
        <v>0</v>
      </c>
      <c r="E176" s="421">
        <f>SUM(E177)</f>
        <v>2000</v>
      </c>
      <c r="F176" s="421">
        <f t="shared" ref="F176:G176" si="45">SUM(F177)</f>
        <v>500</v>
      </c>
      <c r="G176" s="421">
        <f t="shared" si="45"/>
        <v>500</v>
      </c>
    </row>
    <row r="177" spans="1:7" s="394" customFormat="1" x14ac:dyDescent="0.25">
      <c r="A177" s="337">
        <v>38341</v>
      </c>
      <c r="B177" s="336" t="s">
        <v>172</v>
      </c>
      <c r="C177" s="420"/>
      <c r="D177" s="420"/>
      <c r="E177" s="420">
        <f>1500+500</f>
        <v>2000</v>
      </c>
      <c r="F177" s="420">
        <v>500</v>
      </c>
      <c r="G177" s="420">
        <v>500</v>
      </c>
    </row>
    <row r="178" spans="1:7" s="394" customFormat="1" hidden="1" x14ac:dyDescent="0.25">
      <c r="A178" s="340">
        <v>3835</v>
      </c>
      <c r="B178" s="341" t="s">
        <v>173</v>
      </c>
      <c r="C178" s="421"/>
      <c r="D178" s="421"/>
      <c r="E178" s="421"/>
      <c r="F178" s="421"/>
      <c r="G178" s="421"/>
    </row>
    <row r="179" spans="1:7" s="394" customFormat="1" hidden="1" x14ac:dyDescent="0.25">
      <c r="A179" s="340">
        <v>385</v>
      </c>
      <c r="B179" s="341" t="s">
        <v>308</v>
      </c>
      <c r="C179" s="421">
        <f>C180</f>
        <v>0</v>
      </c>
      <c r="D179" s="421">
        <f>D180</f>
        <v>0</v>
      </c>
      <c r="E179" s="421">
        <f>E180</f>
        <v>0</v>
      </c>
      <c r="F179" s="421">
        <f t="shared" ref="F179:G179" si="46">F180</f>
        <v>0</v>
      </c>
      <c r="G179" s="421">
        <f t="shared" si="46"/>
        <v>0</v>
      </c>
    </row>
    <row r="180" spans="1:7" s="394" customFormat="1" hidden="1" x14ac:dyDescent="0.25">
      <c r="A180" s="340">
        <v>3859</v>
      </c>
      <c r="B180" s="341" t="s">
        <v>308</v>
      </c>
      <c r="C180" s="421"/>
      <c r="D180" s="421"/>
      <c r="E180" s="421">
        <v>0</v>
      </c>
      <c r="F180" s="421">
        <v>0</v>
      </c>
      <c r="G180" s="421">
        <v>0</v>
      </c>
    </row>
    <row r="181" spans="1:7" s="381" customFormat="1" x14ac:dyDescent="0.25">
      <c r="A181" s="389">
        <v>4</v>
      </c>
      <c r="B181" s="390" t="s">
        <v>174</v>
      </c>
      <c r="C181" s="391">
        <f>C182+C188+C210</f>
        <v>0</v>
      </c>
      <c r="D181" s="391">
        <f>D182+D188+D210</f>
        <v>0</v>
      </c>
      <c r="E181" s="391">
        <f>E182+E188+E210</f>
        <v>85372.28</v>
      </c>
      <c r="F181" s="391">
        <f>F182+F188+F210</f>
        <v>88322.28</v>
      </c>
      <c r="G181" s="391">
        <f>G182+G188+G210</f>
        <v>91272.28</v>
      </c>
    </row>
    <row r="182" spans="1:7" hidden="1" x14ac:dyDescent="0.25">
      <c r="A182" s="415" t="s">
        <v>175</v>
      </c>
      <c r="B182" s="434" t="s">
        <v>176</v>
      </c>
      <c r="C182" s="408">
        <f>C183+C186</f>
        <v>0</v>
      </c>
      <c r="D182" s="408">
        <f>D183+D186</f>
        <v>0</v>
      </c>
      <c r="E182" s="408">
        <f>E183+E186</f>
        <v>0</v>
      </c>
      <c r="F182" s="408">
        <f t="shared" ref="F182:G182" si="47">F183+F186</f>
        <v>0</v>
      </c>
      <c r="G182" s="408">
        <f t="shared" si="47"/>
        <v>0</v>
      </c>
    </row>
    <row r="183" spans="1:7" hidden="1" x14ac:dyDescent="0.25">
      <c r="A183" s="417" t="s">
        <v>177</v>
      </c>
      <c r="B183" s="435" t="s">
        <v>178</v>
      </c>
      <c r="C183" s="380">
        <f>C184</f>
        <v>0</v>
      </c>
      <c r="D183" s="380">
        <f>D184</f>
        <v>0</v>
      </c>
      <c r="E183" s="380">
        <f>E184</f>
        <v>0</v>
      </c>
      <c r="F183" s="380">
        <f t="shared" ref="F183:G183" si="48">F185</f>
        <v>0</v>
      </c>
      <c r="G183" s="380">
        <f t="shared" si="48"/>
        <v>0</v>
      </c>
    </row>
    <row r="184" spans="1:7" hidden="1" x14ac:dyDescent="0.25">
      <c r="A184" s="417" t="s">
        <v>179</v>
      </c>
      <c r="B184" s="435" t="s">
        <v>180</v>
      </c>
      <c r="C184" s="380">
        <f>SUM(C185)</f>
        <v>0</v>
      </c>
      <c r="D184" s="380">
        <f>SUM(D185)</f>
        <v>0</v>
      </c>
      <c r="E184" s="380">
        <f>SUM(E185)</f>
        <v>0</v>
      </c>
      <c r="F184" s="380">
        <f t="shared" ref="F184:G184" si="49">SUM(F185)</f>
        <v>0</v>
      </c>
      <c r="G184" s="380">
        <f t="shared" si="49"/>
        <v>0</v>
      </c>
    </row>
    <row r="185" spans="1:7" hidden="1" x14ac:dyDescent="0.25">
      <c r="A185" s="419" t="s">
        <v>512</v>
      </c>
      <c r="B185" s="436" t="s">
        <v>180</v>
      </c>
      <c r="C185" s="403"/>
      <c r="D185" s="403"/>
      <c r="E185" s="403"/>
      <c r="F185" s="403"/>
      <c r="G185" s="403"/>
    </row>
    <row r="186" spans="1:7" s="381" customFormat="1" hidden="1" x14ac:dyDescent="0.25">
      <c r="A186" s="424">
        <v>412</v>
      </c>
      <c r="B186" s="437" t="s">
        <v>181</v>
      </c>
      <c r="C186" s="155">
        <f>C187</f>
        <v>0</v>
      </c>
      <c r="D186" s="155">
        <f>D187</f>
        <v>0</v>
      </c>
      <c r="E186" s="155">
        <f>E187</f>
        <v>0</v>
      </c>
      <c r="F186" s="155">
        <f t="shared" ref="F186:G186" si="50">F187</f>
        <v>0</v>
      </c>
      <c r="G186" s="155">
        <f t="shared" si="50"/>
        <v>0</v>
      </c>
    </row>
    <row r="187" spans="1:7" s="395" customFormat="1" hidden="1" x14ac:dyDescent="0.25">
      <c r="A187" s="424">
        <v>4123</v>
      </c>
      <c r="B187" s="437" t="s">
        <v>182</v>
      </c>
      <c r="C187" s="421">
        <v>0</v>
      </c>
      <c r="D187" s="421">
        <v>0</v>
      </c>
      <c r="E187" s="421">
        <v>0</v>
      </c>
      <c r="F187" s="421">
        <v>0</v>
      </c>
      <c r="G187" s="421">
        <v>0</v>
      </c>
    </row>
    <row r="188" spans="1:7" s="378" customFormat="1" x14ac:dyDescent="0.25">
      <c r="A188" s="415">
        <v>42</v>
      </c>
      <c r="B188" s="416" t="s">
        <v>183</v>
      </c>
      <c r="C188" s="408">
        <f>C189+C205+C208</f>
        <v>0</v>
      </c>
      <c r="D188" s="408">
        <f>D189+D205+D208</f>
        <v>0</v>
      </c>
      <c r="E188" s="408">
        <f>E189+E205+E208</f>
        <v>75372.28</v>
      </c>
      <c r="F188" s="408">
        <f>F189+F205+F208</f>
        <v>78322.28</v>
      </c>
      <c r="G188" s="408">
        <f>G189+G205+G208</f>
        <v>81272.28</v>
      </c>
    </row>
    <row r="189" spans="1:7" s="381" customFormat="1" x14ac:dyDescent="0.25">
      <c r="A189" s="417">
        <v>422</v>
      </c>
      <c r="B189" s="418" t="s">
        <v>184</v>
      </c>
      <c r="C189" s="380">
        <f>C190+C194+C195+C198+C201+C203</f>
        <v>0</v>
      </c>
      <c r="D189" s="380">
        <f>D190+D194+D195+D198+D201+D203</f>
        <v>0</v>
      </c>
      <c r="E189" s="380">
        <f>E190+E194+E195+E198+E201+E203</f>
        <v>68650</v>
      </c>
      <c r="F189" s="380">
        <f>F190+F194+F195+F198+F201+F203</f>
        <v>71600</v>
      </c>
      <c r="G189" s="380">
        <f>G190+G194+G195+G198+G201+G203</f>
        <v>74550</v>
      </c>
    </row>
    <row r="190" spans="1:7" s="381" customFormat="1" x14ac:dyDescent="0.25">
      <c r="A190" s="417" t="s">
        <v>185</v>
      </c>
      <c r="B190" s="418" t="s">
        <v>186</v>
      </c>
      <c r="C190" s="380">
        <f>SUM(C191:C193)</f>
        <v>0</v>
      </c>
      <c r="D190" s="380">
        <f>SUM(D191:D193)</f>
        <v>0</v>
      </c>
      <c r="E190" s="380">
        <f>SUM(E191:E193)</f>
        <v>7800</v>
      </c>
      <c r="F190" s="380">
        <f>SUM(F191:F193)</f>
        <v>7800</v>
      </c>
      <c r="G190" s="380">
        <f>SUM(G191:G193)</f>
        <v>7800</v>
      </c>
    </row>
    <row r="191" spans="1:7" s="381" customFormat="1" x14ac:dyDescent="0.25">
      <c r="A191" s="419">
        <v>42211</v>
      </c>
      <c r="B191" s="331" t="s">
        <v>464</v>
      </c>
      <c r="C191" s="403">
        <v>0</v>
      </c>
      <c r="D191" s="403"/>
      <c r="E191" s="403">
        <v>1000</v>
      </c>
      <c r="F191" s="403">
        <v>1000</v>
      </c>
      <c r="G191" s="403">
        <v>1000</v>
      </c>
    </row>
    <row r="192" spans="1:7" s="381" customFormat="1" x14ac:dyDescent="0.25">
      <c r="A192" s="419">
        <v>42212</v>
      </c>
      <c r="B192" s="331" t="s">
        <v>465</v>
      </c>
      <c r="C192" s="403">
        <v>0</v>
      </c>
      <c r="D192" s="403"/>
      <c r="E192" s="403">
        <v>6000</v>
      </c>
      <c r="F192" s="403">
        <v>6000</v>
      </c>
      <c r="G192" s="403">
        <v>6000</v>
      </c>
    </row>
    <row r="193" spans="1:7" x14ac:dyDescent="0.25">
      <c r="A193" s="419">
        <v>42219</v>
      </c>
      <c r="B193" s="331" t="s">
        <v>466</v>
      </c>
      <c r="C193" s="420">
        <v>0</v>
      </c>
      <c r="D193" s="420"/>
      <c r="E193" s="420">
        <v>800</v>
      </c>
      <c r="F193" s="420">
        <v>800</v>
      </c>
      <c r="G193" s="420">
        <v>800</v>
      </c>
    </row>
    <row r="194" spans="1:7" hidden="1" x14ac:dyDescent="0.25">
      <c r="A194" s="417" t="s">
        <v>187</v>
      </c>
      <c r="B194" s="418" t="s">
        <v>188</v>
      </c>
      <c r="C194" s="421"/>
      <c r="D194" s="421"/>
      <c r="E194" s="421"/>
      <c r="F194" s="421"/>
      <c r="G194" s="421"/>
    </row>
    <row r="195" spans="1:7" x14ac:dyDescent="0.25">
      <c r="A195" s="424">
        <v>4223</v>
      </c>
      <c r="B195" s="437" t="s">
        <v>311</v>
      </c>
      <c r="C195" s="421">
        <f>SUM(C196:C197)</f>
        <v>0</v>
      </c>
      <c r="D195" s="421">
        <f>SUM(D196:D197)</f>
        <v>0</v>
      </c>
      <c r="E195" s="421">
        <f>SUM(E196:E197)</f>
        <v>7350</v>
      </c>
      <c r="F195" s="421">
        <f>SUM(F196:F197)</f>
        <v>7850</v>
      </c>
      <c r="G195" s="421">
        <f>SUM(G196:G197)</f>
        <v>8350</v>
      </c>
    </row>
    <row r="196" spans="1:7" x14ac:dyDescent="0.25">
      <c r="A196" s="419">
        <v>42231</v>
      </c>
      <c r="B196" s="331" t="s">
        <v>468</v>
      </c>
      <c r="C196" s="420">
        <v>0</v>
      </c>
      <c r="D196" s="420"/>
      <c r="E196" s="420">
        <v>7000</v>
      </c>
      <c r="F196" s="420">
        <v>7500</v>
      </c>
      <c r="G196" s="420">
        <v>8000</v>
      </c>
    </row>
    <row r="197" spans="1:7" x14ac:dyDescent="0.25">
      <c r="A197" s="335">
        <v>42232</v>
      </c>
      <c r="B197" s="342" t="s">
        <v>467</v>
      </c>
      <c r="C197" s="420">
        <v>0</v>
      </c>
      <c r="D197" s="420"/>
      <c r="E197" s="420">
        <v>350</v>
      </c>
      <c r="F197" s="420">
        <v>350</v>
      </c>
      <c r="G197" s="420">
        <v>350</v>
      </c>
    </row>
    <row r="198" spans="1:7" x14ac:dyDescent="0.25">
      <c r="A198" s="424">
        <v>4224</v>
      </c>
      <c r="B198" s="437" t="s">
        <v>190</v>
      </c>
      <c r="C198" s="421">
        <f>SUM(C199:C200)</f>
        <v>0</v>
      </c>
      <c r="D198" s="421">
        <f>SUM(D199:D200)</f>
        <v>0</v>
      </c>
      <c r="E198" s="421">
        <f>SUM(E199:E200)</f>
        <v>46500</v>
      </c>
      <c r="F198" s="421">
        <f t="shared" ref="F198:G198" si="51">SUM(F199:F200)</f>
        <v>48600</v>
      </c>
      <c r="G198" s="421">
        <f t="shared" si="51"/>
        <v>50700</v>
      </c>
    </row>
    <row r="199" spans="1:7" x14ac:dyDescent="0.25">
      <c r="A199" s="335">
        <v>42241</v>
      </c>
      <c r="B199" s="342" t="s">
        <v>469</v>
      </c>
      <c r="C199" s="420">
        <v>0</v>
      </c>
      <c r="D199" s="420"/>
      <c r="E199" s="420">
        <v>45000</v>
      </c>
      <c r="F199" s="420">
        <v>47000</v>
      </c>
      <c r="G199" s="420">
        <v>49000</v>
      </c>
    </row>
    <row r="200" spans="1:7" x14ac:dyDescent="0.25">
      <c r="A200" s="335">
        <v>42242</v>
      </c>
      <c r="B200" s="342" t="s">
        <v>470</v>
      </c>
      <c r="C200" s="420">
        <v>0</v>
      </c>
      <c r="D200" s="420"/>
      <c r="E200" s="420">
        <v>1500</v>
      </c>
      <c r="F200" s="420">
        <v>1600</v>
      </c>
      <c r="G200" s="420">
        <v>1700</v>
      </c>
    </row>
    <row r="201" spans="1:7" x14ac:dyDescent="0.25">
      <c r="A201" s="424">
        <v>4225</v>
      </c>
      <c r="B201" s="437" t="s">
        <v>590</v>
      </c>
      <c r="C201" s="421">
        <f>SUM(C202)</f>
        <v>0</v>
      </c>
      <c r="D201" s="421">
        <f>SUM(D202)</f>
        <v>0</v>
      </c>
      <c r="E201" s="421">
        <f>SUM(E202)</f>
        <v>5000</v>
      </c>
      <c r="F201" s="421">
        <f t="shared" ref="F201:G201" si="52">SUM(F202)</f>
        <v>5150</v>
      </c>
      <c r="G201" s="421">
        <f t="shared" si="52"/>
        <v>5300</v>
      </c>
    </row>
    <row r="202" spans="1:7" s="395" customFormat="1" x14ac:dyDescent="0.25">
      <c r="A202" s="335">
        <v>42259</v>
      </c>
      <c r="B202" s="342" t="s">
        <v>568</v>
      </c>
      <c r="C202" s="420"/>
      <c r="D202" s="420"/>
      <c r="E202" s="420">
        <v>5000</v>
      </c>
      <c r="F202" s="420">
        <v>5150</v>
      </c>
      <c r="G202" s="420">
        <v>5300</v>
      </c>
    </row>
    <row r="203" spans="1:7" s="395" customFormat="1" x14ac:dyDescent="0.25">
      <c r="A203" s="424">
        <v>4227</v>
      </c>
      <c r="B203" s="437" t="s">
        <v>192</v>
      </c>
      <c r="C203" s="421">
        <f>SUM(C204)</f>
        <v>0</v>
      </c>
      <c r="D203" s="421">
        <f>SUM(D204)</f>
        <v>0</v>
      </c>
      <c r="E203" s="421">
        <f>SUM(E204)</f>
        <v>2000</v>
      </c>
      <c r="F203" s="421">
        <f t="shared" ref="F203:G203" si="53">SUM(F204)</f>
        <v>2200</v>
      </c>
      <c r="G203" s="421">
        <f t="shared" si="53"/>
        <v>2400</v>
      </c>
    </row>
    <row r="204" spans="1:7" s="395" customFormat="1" x14ac:dyDescent="0.25">
      <c r="A204" s="335">
        <v>42273</v>
      </c>
      <c r="B204" s="342" t="s">
        <v>192</v>
      </c>
      <c r="C204" s="420">
        <v>0</v>
      </c>
      <c r="D204" s="420"/>
      <c r="E204" s="420">
        <v>2000</v>
      </c>
      <c r="F204" s="420">
        <v>2200</v>
      </c>
      <c r="G204" s="420">
        <v>2400</v>
      </c>
    </row>
    <row r="205" spans="1:7" s="392" customFormat="1" x14ac:dyDescent="0.25">
      <c r="A205" s="424">
        <v>423</v>
      </c>
      <c r="B205" s="437" t="s">
        <v>193</v>
      </c>
      <c r="C205" s="380">
        <f>C207</f>
        <v>0</v>
      </c>
      <c r="D205" s="380">
        <f>D207</f>
        <v>0</v>
      </c>
      <c r="E205" s="380">
        <f>E207</f>
        <v>6722.28</v>
      </c>
      <c r="F205" s="380">
        <f t="shared" ref="F205:G205" si="54">F207</f>
        <v>6722.28</v>
      </c>
      <c r="G205" s="380">
        <f t="shared" si="54"/>
        <v>6722.28</v>
      </c>
    </row>
    <row r="206" spans="1:7" s="392" customFormat="1" x14ac:dyDescent="0.25">
      <c r="A206" s="424">
        <v>4231</v>
      </c>
      <c r="B206" s="437" t="s">
        <v>80</v>
      </c>
      <c r="C206" s="380">
        <f>SUM(C207)</f>
        <v>0</v>
      </c>
      <c r="D206" s="380">
        <f>SUM(D207)</f>
        <v>0</v>
      </c>
      <c r="E206" s="380">
        <f>SUM(E207)</f>
        <v>6722.28</v>
      </c>
      <c r="F206" s="380">
        <f t="shared" ref="F206:G206" si="55">SUM(F207)</f>
        <v>6722.28</v>
      </c>
      <c r="G206" s="380">
        <f t="shared" si="55"/>
        <v>6722.28</v>
      </c>
    </row>
    <row r="207" spans="1:7" s="395" customFormat="1" x14ac:dyDescent="0.25">
      <c r="A207" s="335">
        <v>42311</v>
      </c>
      <c r="B207" s="342" t="s">
        <v>471</v>
      </c>
      <c r="C207" s="420">
        <v>0</v>
      </c>
      <c r="D207" s="420"/>
      <c r="E207" s="420">
        <v>6722.28</v>
      </c>
      <c r="F207" s="420">
        <v>6722.28</v>
      </c>
      <c r="G207" s="420">
        <v>6722.28</v>
      </c>
    </row>
    <row r="208" spans="1:7" s="392" customFormat="1" hidden="1" x14ac:dyDescent="0.25">
      <c r="A208" s="424">
        <v>426</v>
      </c>
      <c r="B208" s="245" t="s">
        <v>194</v>
      </c>
      <c r="C208" s="155">
        <f>C209</f>
        <v>0</v>
      </c>
      <c r="D208" s="155">
        <f>D209</f>
        <v>0</v>
      </c>
      <c r="E208" s="155">
        <f>E209</f>
        <v>0</v>
      </c>
      <c r="F208" s="155">
        <f t="shared" ref="F208:G208" si="56">F209</f>
        <v>0</v>
      </c>
      <c r="G208" s="155">
        <f t="shared" si="56"/>
        <v>0</v>
      </c>
    </row>
    <row r="209" spans="1:7" s="395" customFormat="1" hidden="1" x14ac:dyDescent="0.25">
      <c r="A209" s="424">
        <v>4262</v>
      </c>
      <c r="B209" s="245" t="s">
        <v>195</v>
      </c>
      <c r="C209" s="380"/>
      <c r="D209" s="380"/>
      <c r="E209" s="380"/>
      <c r="F209" s="380"/>
      <c r="G209" s="380"/>
    </row>
    <row r="210" spans="1:7" s="396" customFormat="1" x14ac:dyDescent="0.25">
      <c r="A210" s="415" t="s">
        <v>196</v>
      </c>
      <c r="B210" s="434" t="s">
        <v>199</v>
      </c>
      <c r="C210" s="408">
        <f>C211+C214</f>
        <v>0</v>
      </c>
      <c r="D210" s="408">
        <f>D211+D214</f>
        <v>0</v>
      </c>
      <c r="E210" s="408">
        <f>E211+E214</f>
        <v>10000</v>
      </c>
      <c r="F210" s="408">
        <f t="shared" ref="F210:G210" si="57">F211+F214</f>
        <v>10000</v>
      </c>
      <c r="G210" s="408">
        <f t="shared" si="57"/>
        <v>10000</v>
      </c>
    </row>
    <row r="211" spans="1:7" s="381" customFormat="1" x14ac:dyDescent="0.25">
      <c r="A211" s="417" t="s">
        <v>198</v>
      </c>
      <c r="B211" s="418" t="s">
        <v>207</v>
      </c>
      <c r="C211" s="380">
        <f>C212</f>
        <v>0</v>
      </c>
      <c r="D211" s="380">
        <f>D212</f>
        <v>0</v>
      </c>
      <c r="E211" s="380">
        <f>E212</f>
        <v>10000</v>
      </c>
      <c r="F211" s="380">
        <f t="shared" ref="F211:G211" si="58">F212</f>
        <v>10000</v>
      </c>
      <c r="G211" s="380">
        <f t="shared" si="58"/>
        <v>10000</v>
      </c>
    </row>
    <row r="212" spans="1:7" s="381" customFormat="1" x14ac:dyDescent="0.25">
      <c r="A212" s="417" t="s">
        <v>200</v>
      </c>
      <c r="B212" s="418" t="s">
        <v>199</v>
      </c>
      <c r="C212" s="380">
        <f>SUM(C213)</f>
        <v>0</v>
      </c>
      <c r="D212" s="380">
        <f>SUM(D213)</f>
        <v>0</v>
      </c>
      <c r="E212" s="380">
        <f>SUM(E213)</f>
        <v>10000</v>
      </c>
      <c r="F212" s="380">
        <f t="shared" ref="F212:G212" si="59">SUM(F213)</f>
        <v>10000</v>
      </c>
      <c r="G212" s="380">
        <f t="shared" si="59"/>
        <v>10000</v>
      </c>
    </row>
    <row r="213" spans="1:7" s="394" customFormat="1" x14ac:dyDescent="0.25">
      <c r="A213" s="419" t="s">
        <v>513</v>
      </c>
      <c r="B213" s="331" t="s">
        <v>199</v>
      </c>
      <c r="C213" s="420"/>
      <c r="D213" s="420"/>
      <c r="E213" s="420">
        <v>10000</v>
      </c>
      <c r="F213" s="420">
        <v>10000</v>
      </c>
      <c r="G213" s="420">
        <v>10000</v>
      </c>
    </row>
    <row r="214" spans="1:7" s="397" customFormat="1" hidden="1" x14ac:dyDescent="0.25">
      <c r="A214" s="417" t="s">
        <v>201</v>
      </c>
      <c r="B214" s="418" t="s">
        <v>202</v>
      </c>
      <c r="C214" s="438">
        <f>C215</f>
        <v>0</v>
      </c>
      <c r="D214" s="438">
        <f>D215</f>
        <v>0</v>
      </c>
      <c r="E214" s="438">
        <f>E215</f>
        <v>0</v>
      </c>
      <c r="F214" s="438">
        <f t="shared" ref="F214:G214" si="60">F215</f>
        <v>0</v>
      </c>
      <c r="G214" s="438">
        <f t="shared" si="60"/>
        <v>0</v>
      </c>
    </row>
    <row r="215" spans="1:7" s="398" customFormat="1" hidden="1" x14ac:dyDescent="0.25">
      <c r="A215" s="417" t="s">
        <v>203</v>
      </c>
      <c r="B215" s="418" t="s">
        <v>202</v>
      </c>
      <c r="C215" s="438"/>
      <c r="D215" s="438"/>
      <c r="E215" s="438"/>
      <c r="F215" s="438"/>
      <c r="G215" s="438"/>
    </row>
    <row r="216" spans="1:7" s="399" customFormat="1" x14ac:dyDescent="0.25">
      <c r="A216" s="439" t="s">
        <v>66</v>
      </c>
      <c r="B216" s="440" t="s">
        <v>210</v>
      </c>
      <c r="C216" s="387">
        <f>C217+C331</f>
        <v>0</v>
      </c>
      <c r="D216" s="387">
        <f>D217+D331</f>
        <v>0</v>
      </c>
      <c r="E216" s="387">
        <f>E217+E331</f>
        <v>3804916.33</v>
      </c>
      <c r="F216" s="387">
        <f>F217+F331</f>
        <v>3850540.33</v>
      </c>
      <c r="G216" s="387">
        <f>G217+G331</f>
        <v>3882388.81</v>
      </c>
    </row>
    <row r="217" spans="1:7" s="399" customFormat="1" x14ac:dyDescent="0.25">
      <c r="A217" s="441" t="s">
        <v>86</v>
      </c>
      <c r="B217" s="390" t="s">
        <v>87</v>
      </c>
      <c r="C217" s="391">
        <f>C218+C237+C311+C319+C322</f>
        <v>0</v>
      </c>
      <c r="D217" s="391">
        <f t="shared" ref="D217:G217" si="61">D218+D237+D311+D319+D322</f>
        <v>0</v>
      </c>
      <c r="E217" s="391">
        <f t="shared" si="61"/>
        <v>3804916.33</v>
      </c>
      <c r="F217" s="391">
        <f t="shared" si="61"/>
        <v>3850540.33</v>
      </c>
      <c r="G217" s="391">
        <f t="shared" si="61"/>
        <v>3882388.81</v>
      </c>
    </row>
    <row r="218" spans="1:7" s="399" customFormat="1" x14ac:dyDescent="0.25">
      <c r="A218" s="415">
        <v>31</v>
      </c>
      <c r="B218" s="416" t="s">
        <v>88</v>
      </c>
      <c r="C218" s="408">
        <f>C219+C226+C234</f>
        <v>0</v>
      </c>
      <c r="D218" s="408">
        <f>D219+D226+D234</f>
        <v>0</v>
      </c>
      <c r="E218" s="408">
        <f>E219+E226+E234</f>
        <v>1338150.7</v>
      </c>
      <c r="F218" s="408">
        <f t="shared" ref="F218:G218" si="62">F219+F226+F234</f>
        <v>1363555.1500000001</v>
      </c>
      <c r="G218" s="408">
        <f t="shared" si="62"/>
        <v>1389467.6900000002</v>
      </c>
    </row>
    <row r="219" spans="1:7" s="399" customFormat="1" x14ac:dyDescent="0.25">
      <c r="A219" s="417">
        <v>311</v>
      </c>
      <c r="B219" s="418" t="s">
        <v>89</v>
      </c>
      <c r="C219" s="380">
        <f>C220+C222+C223+C224</f>
        <v>0</v>
      </c>
      <c r="D219" s="380">
        <f>D220+D222+D223+D224</f>
        <v>0</v>
      </c>
      <c r="E219" s="380">
        <f>E220+E222+E223+E224</f>
        <v>942112.26</v>
      </c>
      <c r="F219" s="380">
        <f t="shared" ref="F219:G219" si="63">F220+F222+F223+F224</f>
        <v>951512.26</v>
      </c>
      <c r="G219" s="380">
        <f t="shared" si="63"/>
        <v>959232.56</v>
      </c>
    </row>
    <row r="220" spans="1:7" s="399" customFormat="1" x14ac:dyDescent="0.25">
      <c r="A220" s="417">
        <v>3111</v>
      </c>
      <c r="B220" s="418" t="s">
        <v>90</v>
      </c>
      <c r="C220" s="380">
        <f>SUM(C221)</f>
        <v>0</v>
      </c>
      <c r="D220" s="380">
        <f>SUM(D221)</f>
        <v>0</v>
      </c>
      <c r="E220" s="380">
        <f>SUM(E221)</f>
        <v>942112.26</v>
      </c>
      <c r="F220" s="380">
        <f t="shared" ref="F220:G220" si="64">SUM(F221)</f>
        <v>951512.26</v>
      </c>
      <c r="G220" s="380">
        <f t="shared" si="64"/>
        <v>959232.56</v>
      </c>
    </row>
    <row r="221" spans="1:7" s="400" customFormat="1" x14ac:dyDescent="0.25">
      <c r="A221" s="419" t="s">
        <v>484</v>
      </c>
      <c r="B221" s="331" t="s">
        <v>90</v>
      </c>
      <c r="C221" s="420"/>
      <c r="D221" s="420"/>
      <c r="E221" s="420">
        <f>56139.76+885972.5</f>
        <v>942112.26</v>
      </c>
      <c r="F221" s="420">
        <v>951512.26</v>
      </c>
      <c r="G221" s="420">
        <v>959232.56</v>
      </c>
    </row>
    <row r="222" spans="1:7" s="400" customFormat="1" hidden="1" x14ac:dyDescent="0.25">
      <c r="A222" s="417" t="s">
        <v>91</v>
      </c>
      <c r="B222" s="418" t="s">
        <v>92</v>
      </c>
      <c r="C222" s="421"/>
      <c r="D222" s="421"/>
      <c r="E222" s="421"/>
      <c r="F222" s="421"/>
      <c r="G222" s="421"/>
    </row>
    <row r="223" spans="1:7" s="400" customFormat="1" hidden="1" x14ac:dyDescent="0.25">
      <c r="A223" s="417" t="s">
        <v>93</v>
      </c>
      <c r="B223" s="418" t="s">
        <v>94</v>
      </c>
      <c r="C223" s="421"/>
      <c r="D223" s="421"/>
      <c r="E223" s="421"/>
      <c r="F223" s="421"/>
      <c r="G223" s="421"/>
    </row>
    <row r="224" spans="1:7" s="400" customFormat="1" hidden="1" x14ac:dyDescent="0.25">
      <c r="A224" s="417" t="s">
        <v>95</v>
      </c>
      <c r="B224" s="418" t="s">
        <v>211</v>
      </c>
      <c r="C224" s="421">
        <f>SUM(C225)</f>
        <v>0</v>
      </c>
      <c r="D224" s="421">
        <f>SUM(D225)</f>
        <v>0</v>
      </c>
      <c r="E224" s="421">
        <f>SUM(E225)</f>
        <v>0</v>
      </c>
      <c r="F224" s="421">
        <f t="shared" ref="F224:G224" si="65">SUM(F225)</f>
        <v>0</v>
      </c>
      <c r="G224" s="421">
        <f t="shared" si="65"/>
        <v>0</v>
      </c>
    </row>
    <row r="225" spans="1:7" s="400" customFormat="1" hidden="1" x14ac:dyDescent="0.25">
      <c r="A225" s="419" t="s">
        <v>487</v>
      </c>
      <c r="B225" s="331" t="s">
        <v>211</v>
      </c>
      <c r="C225" s="420">
        <v>0</v>
      </c>
      <c r="D225" s="420">
        <v>0</v>
      </c>
      <c r="E225" s="420">
        <v>0</v>
      </c>
      <c r="F225" s="420">
        <v>0</v>
      </c>
      <c r="G225" s="420">
        <v>0</v>
      </c>
    </row>
    <row r="226" spans="1:7" s="399" customFormat="1" x14ac:dyDescent="0.25">
      <c r="A226" s="417" t="s">
        <v>97</v>
      </c>
      <c r="B226" s="418" t="s">
        <v>98</v>
      </c>
      <c r="C226" s="380">
        <f>C227</f>
        <v>0</v>
      </c>
      <c r="D226" s="380">
        <f>D227</f>
        <v>0</v>
      </c>
      <c r="E226" s="380">
        <f>E227</f>
        <v>158231.67999999999</v>
      </c>
      <c r="F226" s="380">
        <f t="shared" ref="F226:G226" si="66">F227</f>
        <v>163186.13</v>
      </c>
      <c r="G226" s="380">
        <f t="shared" si="66"/>
        <v>168278.37</v>
      </c>
    </row>
    <row r="227" spans="1:7" s="399" customFormat="1" x14ac:dyDescent="0.25">
      <c r="A227" s="417" t="s">
        <v>99</v>
      </c>
      <c r="B227" s="418" t="s">
        <v>98</v>
      </c>
      <c r="C227" s="380">
        <f>SUM(C228:C233)</f>
        <v>0</v>
      </c>
      <c r="D227" s="380">
        <f>SUM(D228:D233)</f>
        <v>0</v>
      </c>
      <c r="E227" s="380">
        <f>SUM(E228:E233)</f>
        <v>158231.67999999999</v>
      </c>
      <c r="F227" s="380">
        <f>SUM(F228:F233)</f>
        <v>163186.13</v>
      </c>
      <c r="G227" s="380">
        <f>SUM(G228:G233)</f>
        <v>168278.37</v>
      </c>
    </row>
    <row r="228" spans="1:7" s="400" customFormat="1" x14ac:dyDescent="0.25">
      <c r="A228" s="419" t="s">
        <v>489</v>
      </c>
      <c r="B228" s="331" t="s">
        <v>404</v>
      </c>
      <c r="C228" s="403"/>
      <c r="D228" s="403"/>
      <c r="E228" s="403">
        <v>9700</v>
      </c>
      <c r="F228" s="403">
        <v>9950</v>
      </c>
      <c r="G228" s="403">
        <v>10250</v>
      </c>
    </row>
    <row r="229" spans="1:7" s="400" customFormat="1" x14ac:dyDescent="0.25">
      <c r="A229" s="419" t="s">
        <v>490</v>
      </c>
      <c r="B229" s="331" t="s">
        <v>403</v>
      </c>
      <c r="C229" s="403"/>
      <c r="D229" s="403"/>
      <c r="E229" s="403">
        <v>16000</v>
      </c>
      <c r="F229" s="403">
        <v>16500</v>
      </c>
      <c r="G229" s="403">
        <v>17000</v>
      </c>
    </row>
    <row r="230" spans="1:7" s="400" customFormat="1" x14ac:dyDescent="0.25">
      <c r="A230" s="419" t="s">
        <v>491</v>
      </c>
      <c r="B230" s="331" t="s">
        <v>405</v>
      </c>
      <c r="C230" s="403"/>
      <c r="D230" s="403"/>
      <c r="E230" s="403">
        <v>10000</v>
      </c>
      <c r="F230" s="403">
        <v>11000</v>
      </c>
      <c r="G230" s="403">
        <v>12000</v>
      </c>
    </row>
    <row r="231" spans="1:7" s="400" customFormat="1" x14ac:dyDescent="0.25">
      <c r="A231" s="419" t="s">
        <v>492</v>
      </c>
      <c r="B231" s="331" t="s">
        <v>406</v>
      </c>
      <c r="C231" s="403"/>
      <c r="D231" s="403"/>
      <c r="E231" s="403">
        <v>45150</v>
      </c>
      <c r="F231" s="403">
        <v>46150</v>
      </c>
      <c r="G231" s="403">
        <v>47150</v>
      </c>
    </row>
    <row r="232" spans="1:7" s="399" customFormat="1" x14ac:dyDescent="0.25">
      <c r="A232" s="419" t="s">
        <v>629</v>
      </c>
      <c r="B232" s="331" t="s">
        <v>630</v>
      </c>
      <c r="C232" s="403"/>
      <c r="D232" s="403"/>
      <c r="E232" s="403">
        <v>63400</v>
      </c>
      <c r="F232" s="403">
        <v>64600</v>
      </c>
      <c r="G232" s="403">
        <v>65880</v>
      </c>
    </row>
    <row r="233" spans="1:7" s="400" customFormat="1" x14ac:dyDescent="0.25">
      <c r="A233" s="419" t="s">
        <v>493</v>
      </c>
      <c r="B233" s="331" t="s">
        <v>401</v>
      </c>
      <c r="C233" s="420"/>
      <c r="D233" s="420"/>
      <c r="E233" s="420">
        <f>10000+3981.68</f>
        <v>13981.68</v>
      </c>
      <c r="F233" s="420">
        <v>14986.13</v>
      </c>
      <c r="G233" s="420">
        <v>15998.37</v>
      </c>
    </row>
    <row r="234" spans="1:7" s="399" customFormat="1" x14ac:dyDescent="0.25">
      <c r="A234" s="422">
        <v>313</v>
      </c>
      <c r="B234" s="418" t="s">
        <v>100</v>
      </c>
      <c r="C234" s="380">
        <f>C235</f>
        <v>0</v>
      </c>
      <c r="D234" s="380">
        <f>D235</f>
        <v>0</v>
      </c>
      <c r="E234" s="380">
        <f>E235</f>
        <v>237806.76</v>
      </c>
      <c r="F234" s="380">
        <f t="shared" ref="F234:G234" si="67">F235</f>
        <v>248856.76</v>
      </c>
      <c r="G234" s="380">
        <f t="shared" si="67"/>
        <v>261956.76</v>
      </c>
    </row>
    <row r="235" spans="1:7" s="399" customFormat="1" x14ac:dyDescent="0.25">
      <c r="A235" s="422">
        <v>3132</v>
      </c>
      <c r="B235" s="418" t="s">
        <v>101</v>
      </c>
      <c r="C235" s="380">
        <f>SUM(C236)</f>
        <v>0</v>
      </c>
      <c r="D235" s="380">
        <f>SUM(D236)</f>
        <v>0</v>
      </c>
      <c r="E235" s="380">
        <f>SUM(E236)</f>
        <v>237806.76</v>
      </c>
      <c r="F235" s="380">
        <f t="shared" ref="F235:G235" si="68">SUM(F236)</f>
        <v>248856.76</v>
      </c>
      <c r="G235" s="380">
        <f t="shared" si="68"/>
        <v>261956.76</v>
      </c>
    </row>
    <row r="236" spans="1:7" s="400" customFormat="1" x14ac:dyDescent="0.25">
      <c r="A236" s="423" t="s">
        <v>494</v>
      </c>
      <c r="B236" s="331" t="s">
        <v>101</v>
      </c>
      <c r="C236" s="420"/>
      <c r="D236" s="420"/>
      <c r="E236" s="420">
        <f>230000+7806.76</f>
        <v>237806.76</v>
      </c>
      <c r="F236" s="420">
        <v>248856.76</v>
      </c>
      <c r="G236" s="420">
        <v>261956.76</v>
      </c>
    </row>
    <row r="237" spans="1:7" s="399" customFormat="1" x14ac:dyDescent="0.25">
      <c r="A237" s="415">
        <v>32</v>
      </c>
      <c r="B237" s="416" t="s">
        <v>102</v>
      </c>
      <c r="C237" s="408">
        <f>C238+C251+C265+C291+C299</f>
        <v>0</v>
      </c>
      <c r="D237" s="408">
        <f>D238+D251+D265+D291+D299</f>
        <v>0</v>
      </c>
      <c r="E237" s="408">
        <f>E238+E251+E265+E291+E299</f>
        <v>2458865.63</v>
      </c>
      <c r="F237" s="408">
        <f>F238+F251+F265+F291+F299</f>
        <v>2478927.1799999997</v>
      </c>
      <c r="G237" s="408">
        <f>G238+G251+G265+G291+G299</f>
        <v>2484701.96</v>
      </c>
    </row>
    <row r="238" spans="1:7" s="399" customFormat="1" x14ac:dyDescent="0.25">
      <c r="A238" s="417" t="s">
        <v>215</v>
      </c>
      <c r="B238" s="433" t="s">
        <v>103</v>
      </c>
      <c r="C238" s="380">
        <f>C239+C244+C247+C250</f>
        <v>0</v>
      </c>
      <c r="D238" s="380">
        <f>D239+D244+D247+D250</f>
        <v>0</v>
      </c>
      <c r="E238" s="380">
        <f>E239+E244+E247+E250</f>
        <v>141199.5</v>
      </c>
      <c r="F238" s="380">
        <f>F239+F244+F247+F250</f>
        <v>143653.64999999997</v>
      </c>
      <c r="G238" s="380">
        <f>G239+G244+G247+G250</f>
        <v>146128.43</v>
      </c>
    </row>
    <row r="239" spans="1:7" s="399" customFormat="1" x14ac:dyDescent="0.25">
      <c r="A239" s="417" t="s">
        <v>104</v>
      </c>
      <c r="B239" s="433" t="s">
        <v>105</v>
      </c>
      <c r="C239" s="380">
        <f>SUM(C240:C243)</f>
        <v>0</v>
      </c>
      <c r="D239" s="380">
        <f>SUM(D240:D243)</f>
        <v>0</v>
      </c>
      <c r="E239" s="380">
        <f>SUM(E240:E243)</f>
        <v>9263.61</v>
      </c>
      <c r="F239" s="380">
        <f>SUM(F240:F243)</f>
        <v>9463.61</v>
      </c>
      <c r="G239" s="380">
        <f>SUM(G240:G243)</f>
        <v>9663.61</v>
      </c>
    </row>
    <row r="240" spans="1:7" s="400" customFormat="1" x14ac:dyDescent="0.25">
      <c r="A240" s="419">
        <v>32111</v>
      </c>
      <c r="B240" s="442" t="s">
        <v>407</v>
      </c>
      <c r="C240" s="403"/>
      <c r="D240" s="403"/>
      <c r="E240" s="403">
        <v>6500</v>
      </c>
      <c r="F240" s="403">
        <v>6700</v>
      </c>
      <c r="G240" s="403">
        <v>6900</v>
      </c>
    </row>
    <row r="241" spans="1:7" s="400" customFormat="1" x14ac:dyDescent="0.25">
      <c r="A241" s="419">
        <v>32113</v>
      </c>
      <c r="B241" s="442" t="s">
        <v>409</v>
      </c>
      <c r="C241" s="403"/>
      <c r="D241" s="403"/>
      <c r="E241" s="403">
        <v>1000</v>
      </c>
      <c r="F241" s="403">
        <v>1000</v>
      </c>
      <c r="G241" s="403">
        <v>1000</v>
      </c>
    </row>
    <row r="242" spans="1:7" s="400" customFormat="1" x14ac:dyDescent="0.25">
      <c r="A242" s="419">
        <v>32115</v>
      </c>
      <c r="B242" s="442" t="s">
        <v>410</v>
      </c>
      <c r="C242" s="420"/>
      <c r="D242" s="420"/>
      <c r="E242" s="420">
        <f>100+663.61</f>
        <v>763.61</v>
      </c>
      <c r="F242" s="420">
        <f t="shared" ref="F242:G242" si="69">100+663.61</f>
        <v>763.61</v>
      </c>
      <c r="G242" s="420">
        <f t="shared" si="69"/>
        <v>763.61</v>
      </c>
    </row>
    <row r="243" spans="1:7" s="400" customFormat="1" x14ac:dyDescent="0.25">
      <c r="A243" s="419" t="s">
        <v>592</v>
      </c>
      <c r="B243" s="442" t="s">
        <v>593</v>
      </c>
      <c r="C243" s="420"/>
      <c r="D243" s="420"/>
      <c r="E243" s="420">
        <v>1000</v>
      </c>
      <c r="F243" s="420">
        <v>1000</v>
      </c>
      <c r="G243" s="420">
        <v>1000</v>
      </c>
    </row>
    <row r="244" spans="1:7" s="400" customFormat="1" x14ac:dyDescent="0.25">
      <c r="A244" s="417" t="s">
        <v>106</v>
      </c>
      <c r="B244" s="433" t="s">
        <v>107</v>
      </c>
      <c r="C244" s="421">
        <f>SUM(C245:C246)</f>
        <v>0</v>
      </c>
      <c r="D244" s="421">
        <f>SUM(D245:D246)</f>
        <v>0</v>
      </c>
      <c r="E244" s="421">
        <f>SUM(E245:E246)</f>
        <v>130272.28</v>
      </c>
      <c r="F244" s="421">
        <f t="shared" ref="F244:G244" si="70">SUM(F245:F246)</f>
        <v>132326.43</v>
      </c>
      <c r="G244" s="421">
        <f t="shared" si="70"/>
        <v>134401.21000000002</v>
      </c>
    </row>
    <row r="245" spans="1:7" s="400" customFormat="1" x14ac:dyDescent="0.25">
      <c r="A245" s="419" t="s">
        <v>495</v>
      </c>
      <c r="B245" s="442" t="s">
        <v>293</v>
      </c>
      <c r="C245" s="420"/>
      <c r="D245" s="420"/>
      <c r="E245" s="420">
        <f>113000+13272.28</f>
        <v>126272.28</v>
      </c>
      <c r="F245" s="420">
        <v>128326.43</v>
      </c>
      <c r="G245" s="420">
        <v>130401.21</v>
      </c>
    </row>
    <row r="246" spans="1:7" s="400" customFormat="1" x14ac:dyDescent="0.25">
      <c r="A246" s="419" t="s">
        <v>631</v>
      </c>
      <c r="B246" s="442" t="s">
        <v>632</v>
      </c>
      <c r="C246" s="420"/>
      <c r="D246" s="420"/>
      <c r="E246" s="420">
        <v>4000</v>
      </c>
      <c r="F246" s="420">
        <v>4000</v>
      </c>
      <c r="G246" s="420">
        <v>4000</v>
      </c>
    </row>
    <row r="247" spans="1:7" s="400" customFormat="1" x14ac:dyDescent="0.25">
      <c r="A247" s="417" t="s">
        <v>108</v>
      </c>
      <c r="B247" s="433" t="s">
        <v>109</v>
      </c>
      <c r="C247" s="421">
        <f>SUM(C248:C249)</f>
        <v>0</v>
      </c>
      <c r="D247" s="421">
        <f>SUM(D248:D249)</f>
        <v>0</v>
      </c>
      <c r="E247" s="421">
        <f>SUM(E248:E249)</f>
        <v>1663.6100000000001</v>
      </c>
      <c r="F247" s="421">
        <f>SUM(F248:F249)</f>
        <v>1863.6100000000001</v>
      </c>
      <c r="G247" s="421">
        <f>SUM(G248:G249)</f>
        <v>2063.61</v>
      </c>
    </row>
    <row r="248" spans="1:7" s="400" customFormat="1" x14ac:dyDescent="0.25">
      <c r="A248" s="419" t="s">
        <v>534</v>
      </c>
      <c r="B248" s="442" t="s">
        <v>411</v>
      </c>
      <c r="C248" s="420"/>
      <c r="D248" s="420"/>
      <c r="E248" s="420">
        <v>1000</v>
      </c>
      <c r="F248" s="420">
        <v>1200</v>
      </c>
      <c r="G248" s="420">
        <v>1400</v>
      </c>
    </row>
    <row r="249" spans="1:7" s="400" customFormat="1" x14ac:dyDescent="0.25">
      <c r="A249" s="419" t="s">
        <v>515</v>
      </c>
      <c r="B249" s="442" t="s">
        <v>412</v>
      </c>
      <c r="C249" s="420"/>
      <c r="D249" s="420"/>
      <c r="E249" s="420">
        <v>663.61</v>
      </c>
      <c r="F249" s="420">
        <v>663.61</v>
      </c>
      <c r="G249" s="420">
        <v>663.61</v>
      </c>
    </row>
    <row r="250" spans="1:7" s="400" customFormat="1" hidden="1" x14ac:dyDescent="0.25">
      <c r="A250" s="417" t="s">
        <v>110</v>
      </c>
      <c r="B250" s="433" t="s">
        <v>111</v>
      </c>
      <c r="C250" s="421"/>
      <c r="D250" s="421"/>
      <c r="E250" s="421"/>
      <c r="F250" s="421"/>
      <c r="G250" s="421"/>
    </row>
    <row r="251" spans="1:7" s="401" customFormat="1" x14ac:dyDescent="0.25">
      <c r="A251" s="417" t="s">
        <v>112</v>
      </c>
      <c r="B251" s="418" t="s">
        <v>113</v>
      </c>
      <c r="C251" s="380">
        <f>C252+C254+C257+C260+C261+C264</f>
        <v>0</v>
      </c>
      <c r="D251" s="380">
        <f>D252+D254+D257+D260+D261+D264</f>
        <v>0</v>
      </c>
      <c r="E251" s="380">
        <f>E252+E254+E257+E260+E261+E264</f>
        <v>33838.39</v>
      </c>
      <c r="F251" s="380">
        <f t="shared" ref="F251:G251" si="71">F252+F254+F257+F260+F261+F264</f>
        <v>34500</v>
      </c>
      <c r="G251" s="380">
        <f t="shared" si="71"/>
        <v>35200</v>
      </c>
    </row>
    <row r="252" spans="1:7" s="401" customFormat="1" x14ac:dyDescent="0.25">
      <c r="A252" s="417" t="s">
        <v>114</v>
      </c>
      <c r="B252" s="418" t="s">
        <v>115</v>
      </c>
      <c r="C252" s="380">
        <f>SUM(C253)</f>
        <v>0</v>
      </c>
      <c r="D252" s="380">
        <f>SUM(D253)</f>
        <v>0</v>
      </c>
      <c r="E252" s="380">
        <f>SUM(E253)</f>
        <v>8033.0300000000007</v>
      </c>
      <c r="F252" s="380">
        <f t="shared" ref="F252:G252" si="72">SUM(F253)</f>
        <v>8500</v>
      </c>
      <c r="G252" s="380">
        <f t="shared" si="72"/>
        <v>8950</v>
      </c>
    </row>
    <row r="253" spans="1:7" s="402" customFormat="1" x14ac:dyDescent="0.25">
      <c r="A253" s="419" t="s">
        <v>516</v>
      </c>
      <c r="B253" s="331" t="s">
        <v>115</v>
      </c>
      <c r="C253" s="420"/>
      <c r="D253" s="420"/>
      <c r="E253" s="420">
        <f>7393.84+639.19</f>
        <v>8033.0300000000007</v>
      </c>
      <c r="F253" s="420">
        <v>8500</v>
      </c>
      <c r="G253" s="420">
        <v>8950</v>
      </c>
    </row>
    <row r="254" spans="1:7" s="402" customFormat="1" hidden="1" x14ac:dyDescent="0.25">
      <c r="A254" s="417" t="s">
        <v>116</v>
      </c>
      <c r="B254" s="418" t="s">
        <v>117</v>
      </c>
      <c r="C254" s="421">
        <f>SUM(C255:C256)</f>
        <v>0</v>
      </c>
      <c r="D254" s="421">
        <f>SUM(D255:D256)</f>
        <v>0</v>
      </c>
      <c r="E254" s="421">
        <f>SUM(E255:E256)</f>
        <v>0</v>
      </c>
      <c r="F254" s="421">
        <f t="shared" ref="F254:G254" si="73">SUM(F255:F256)</f>
        <v>0</v>
      </c>
      <c r="G254" s="421">
        <f t="shared" si="73"/>
        <v>0</v>
      </c>
    </row>
    <row r="255" spans="1:7" s="402" customFormat="1" hidden="1" x14ac:dyDescent="0.25">
      <c r="A255" s="419" t="s">
        <v>497</v>
      </c>
      <c r="B255" s="331" t="s">
        <v>419</v>
      </c>
      <c r="C255" s="420"/>
      <c r="D255" s="420">
        <v>0</v>
      </c>
      <c r="E255" s="420"/>
      <c r="F255" s="420"/>
      <c r="G255" s="420"/>
    </row>
    <row r="256" spans="1:7" hidden="1" x14ac:dyDescent="0.25">
      <c r="A256" s="419" t="s">
        <v>498</v>
      </c>
      <c r="B256" s="331" t="s">
        <v>420</v>
      </c>
      <c r="C256" s="420"/>
      <c r="D256" s="420">
        <v>0</v>
      </c>
      <c r="E256" s="420">
        <v>0</v>
      </c>
      <c r="F256" s="420"/>
      <c r="G256" s="420"/>
    </row>
    <row r="257" spans="1:7" x14ac:dyDescent="0.25">
      <c r="A257" s="417" t="s">
        <v>118</v>
      </c>
      <c r="B257" s="418" t="s">
        <v>119</v>
      </c>
      <c r="C257" s="421">
        <f>SUM(C258:C259)</f>
        <v>0</v>
      </c>
      <c r="D257" s="421">
        <f>SUM(D258:D259)</f>
        <v>0</v>
      </c>
      <c r="E257" s="421">
        <f>SUM(E258:E259)</f>
        <v>18805.36</v>
      </c>
      <c r="F257" s="421">
        <f>SUM(F258:F259)</f>
        <v>19000</v>
      </c>
      <c r="G257" s="421">
        <f>SUM(G258:G259)</f>
        <v>19250</v>
      </c>
    </row>
    <row r="258" spans="1:7" x14ac:dyDescent="0.25">
      <c r="A258" s="419" t="s">
        <v>502</v>
      </c>
      <c r="B258" s="331" t="s">
        <v>425</v>
      </c>
      <c r="C258" s="420"/>
      <c r="D258" s="420"/>
      <c r="E258" s="420">
        <v>13500</v>
      </c>
      <c r="F258" s="420">
        <v>13500</v>
      </c>
      <c r="G258" s="420">
        <v>13500</v>
      </c>
    </row>
    <row r="259" spans="1:7" x14ac:dyDescent="0.25">
      <c r="A259" s="419" t="s">
        <v>503</v>
      </c>
      <c r="B259" s="331" t="s">
        <v>422</v>
      </c>
      <c r="C259" s="420"/>
      <c r="D259" s="420"/>
      <c r="E259" s="420">
        <v>5305.36</v>
      </c>
      <c r="F259" s="420">
        <v>5500</v>
      </c>
      <c r="G259" s="420">
        <v>5750</v>
      </c>
    </row>
    <row r="260" spans="1:7" hidden="1" x14ac:dyDescent="0.25">
      <c r="A260" s="417" t="s">
        <v>120</v>
      </c>
      <c r="B260" s="418" t="s">
        <v>330</v>
      </c>
      <c r="C260" s="443"/>
      <c r="D260" s="443"/>
      <c r="E260" s="443"/>
      <c r="F260" s="443"/>
      <c r="G260" s="443"/>
    </row>
    <row r="261" spans="1:7" x14ac:dyDescent="0.25">
      <c r="A261" s="417" t="s">
        <v>122</v>
      </c>
      <c r="B261" s="418" t="s">
        <v>123</v>
      </c>
      <c r="C261" s="421">
        <f>SUM(C262:C263)</f>
        <v>0</v>
      </c>
      <c r="D261" s="421">
        <f>SUM(D262:D263)</f>
        <v>0</v>
      </c>
      <c r="E261" s="421">
        <f>SUM(E262:E263)</f>
        <v>7000</v>
      </c>
      <c r="F261" s="421">
        <f>SUM(F262:F263)</f>
        <v>7000</v>
      </c>
      <c r="G261" s="421">
        <f>SUM(G262:G263)</f>
        <v>7000</v>
      </c>
    </row>
    <row r="262" spans="1:7" x14ac:dyDescent="0.25">
      <c r="A262" s="419" t="s">
        <v>504</v>
      </c>
      <c r="B262" s="331" t="s">
        <v>601</v>
      </c>
      <c r="C262" s="420"/>
      <c r="D262" s="420"/>
      <c r="E262" s="420">
        <v>5000</v>
      </c>
      <c r="F262" s="420">
        <v>5000</v>
      </c>
      <c r="G262" s="420">
        <v>5000</v>
      </c>
    </row>
    <row r="263" spans="1:7" x14ac:dyDescent="0.25">
      <c r="A263" s="419" t="s">
        <v>600</v>
      </c>
      <c r="B263" s="331" t="s">
        <v>602</v>
      </c>
      <c r="C263" s="420"/>
      <c r="D263" s="420"/>
      <c r="E263" s="420">
        <v>2000</v>
      </c>
      <c r="F263" s="420">
        <v>2000</v>
      </c>
      <c r="G263" s="420">
        <v>2000</v>
      </c>
    </row>
    <row r="264" spans="1:7" hidden="1" x14ac:dyDescent="0.25">
      <c r="A264" s="417" t="s">
        <v>124</v>
      </c>
      <c r="B264" s="418" t="s">
        <v>331</v>
      </c>
      <c r="C264" s="421"/>
      <c r="D264" s="421"/>
      <c r="E264" s="421"/>
      <c r="F264" s="421"/>
      <c r="G264" s="421"/>
    </row>
    <row r="265" spans="1:7" s="381" customFormat="1" x14ac:dyDescent="0.25">
      <c r="A265" s="417" t="s">
        <v>126</v>
      </c>
      <c r="B265" s="418" t="s">
        <v>127</v>
      </c>
      <c r="C265" s="380">
        <f>C266+C270+C274+C276+C277+C278+C280+C284+C287</f>
        <v>0</v>
      </c>
      <c r="D265" s="380">
        <f>D266+D270+D274+D276+D277+D278+D280+D284+D287</f>
        <v>0</v>
      </c>
      <c r="E265" s="380">
        <f>E266+E270+E274+E276+E277+E278+E280+E284+E287</f>
        <v>148619.07</v>
      </c>
      <c r="F265" s="380">
        <f t="shared" ref="F265:G265" si="74">F266+F270+F274+F276+F277+F278+F280+F284+F287</f>
        <v>149919.07</v>
      </c>
      <c r="G265" s="380">
        <f t="shared" si="74"/>
        <v>151219.07</v>
      </c>
    </row>
    <row r="266" spans="1:7" x14ac:dyDescent="0.25">
      <c r="A266" s="417" t="s">
        <v>128</v>
      </c>
      <c r="B266" s="418" t="s">
        <v>129</v>
      </c>
      <c r="C266" s="421">
        <f>SUM(C267:C269)</f>
        <v>0</v>
      </c>
      <c r="D266" s="421">
        <f>SUM(D267:D269)</f>
        <v>0</v>
      </c>
      <c r="E266" s="421">
        <f>SUM(E267:E269)</f>
        <v>36700</v>
      </c>
      <c r="F266" s="421">
        <f>SUM(F267:F269)</f>
        <v>38000</v>
      </c>
      <c r="G266" s="421">
        <f>SUM(G267:G269)</f>
        <v>39300</v>
      </c>
    </row>
    <row r="267" spans="1:7" x14ac:dyDescent="0.25">
      <c r="A267" s="419" t="s">
        <v>506</v>
      </c>
      <c r="B267" s="332" t="s">
        <v>430</v>
      </c>
      <c r="C267" s="420"/>
      <c r="D267" s="420"/>
      <c r="E267" s="420">
        <v>30000</v>
      </c>
      <c r="F267" s="420">
        <v>31000</v>
      </c>
      <c r="G267" s="420">
        <v>32000</v>
      </c>
    </row>
    <row r="268" spans="1:7" x14ac:dyDescent="0.25">
      <c r="A268" s="419" t="s">
        <v>507</v>
      </c>
      <c r="B268" s="332" t="s">
        <v>431</v>
      </c>
      <c r="C268" s="420"/>
      <c r="D268" s="420"/>
      <c r="E268" s="420">
        <v>3500</v>
      </c>
      <c r="F268" s="420">
        <v>3500</v>
      </c>
      <c r="G268" s="420">
        <v>3500</v>
      </c>
    </row>
    <row r="269" spans="1:7" x14ac:dyDescent="0.25">
      <c r="A269" s="419" t="s">
        <v>565</v>
      </c>
      <c r="B269" s="332" t="s">
        <v>566</v>
      </c>
      <c r="C269" s="420"/>
      <c r="D269" s="420"/>
      <c r="E269" s="420">
        <v>3200</v>
      </c>
      <c r="F269" s="420">
        <v>3500</v>
      </c>
      <c r="G269" s="420">
        <v>3800</v>
      </c>
    </row>
    <row r="270" spans="1:7" x14ac:dyDescent="0.25">
      <c r="A270" s="417" t="s">
        <v>130</v>
      </c>
      <c r="B270" s="418" t="s">
        <v>131</v>
      </c>
      <c r="C270" s="421">
        <f>SUM(C271:C273)</f>
        <v>0</v>
      </c>
      <c r="D270" s="421">
        <f>SUM(D271:D273)</f>
        <v>0</v>
      </c>
      <c r="E270" s="421">
        <f>SUM(E271:E273)</f>
        <v>17917.580000000002</v>
      </c>
      <c r="F270" s="421">
        <f t="shared" ref="F270:G270" si="75">SUM(F271:F273)</f>
        <v>17917.580000000002</v>
      </c>
      <c r="G270" s="421">
        <f t="shared" si="75"/>
        <v>17917.580000000002</v>
      </c>
    </row>
    <row r="271" spans="1:7" x14ac:dyDescent="0.25">
      <c r="A271" s="419">
        <v>32321</v>
      </c>
      <c r="B271" s="331" t="s">
        <v>433</v>
      </c>
      <c r="C271" s="420">
        <v>0</v>
      </c>
      <c r="D271" s="420"/>
      <c r="E271" s="420">
        <v>11000</v>
      </c>
      <c r="F271" s="420">
        <v>11250</v>
      </c>
      <c r="G271" s="420">
        <v>11450</v>
      </c>
    </row>
    <row r="272" spans="1:7" x14ac:dyDescent="0.25">
      <c r="A272" s="419">
        <v>32322</v>
      </c>
      <c r="B272" s="331" t="s">
        <v>434</v>
      </c>
      <c r="C272" s="420"/>
      <c r="D272" s="420"/>
      <c r="E272" s="420">
        <v>3750</v>
      </c>
      <c r="F272" s="420">
        <v>3750</v>
      </c>
      <c r="G272" s="420">
        <v>3750</v>
      </c>
    </row>
    <row r="273" spans="1:7" x14ac:dyDescent="0.25">
      <c r="A273" s="419">
        <v>32323</v>
      </c>
      <c r="B273" s="331" t="s">
        <v>432</v>
      </c>
      <c r="C273" s="420"/>
      <c r="D273" s="420"/>
      <c r="E273" s="420">
        <v>3167.58</v>
      </c>
      <c r="F273" s="420">
        <f>17917.58-F271-F272</f>
        <v>2917.5800000000017</v>
      </c>
      <c r="G273" s="420">
        <f>17917.58-G271-G272</f>
        <v>2717.5800000000017</v>
      </c>
    </row>
    <row r="274" spans="1:7" x14ac:dyDescent="0.25">
      <c r="A274" s="417" t="s">
        <v>132</v>
      </c>
      <c r="B274" s="418" t="s">
        <v>133</v>
      </c>
      <c r="C274" s="421">
        <f>C275</f>
        <v>0</v>
      </c>
      <c r="D274" s="421">
        <f>D275</f>
        <v>0</v>
      </c>
      <c r="E274" s="421">
        <f>E275</f>
        <v>1200</v>
      </c>
      <c r="F274" s="421">
        <f>F275</f>
        <v>1200</v>
      </c>
      <c r="G274" s="421">
        <f>G275</f>
        <v>1200</v>
      </c>
    </row>
    <row r="275" spans="1:7" x14ac:dyDescent="0.25">
      <c r="A275" s="419" t="s">
        <v>634</v>
      </c>
      <c r="B275" s="331" t="s">
        <v>635</v>
      </c>
      <c r="C275" s="420"/>
      <c r="D275" s="420"/>
      <c r="E275" s="420">
        <v>1200</v>
      </c>
      <c r="F275" s="420">
        <v>1200</v>
      </c>
      <c r="G275" s="420">
        <v>1200</v>
      </c>
    </row>
    <row r="276" spans="1:7" hidden="1" x14ac:dyDescent="0.25">
      <c r="A276" s="417" t="s">
        <v>134</v>
      </c>
      <c r="B276" s="418" t="s">
        <v>135</v>
      </c>
      <c r="C276" s="421"/>
      <c r="D276" s="421"/>
      <c r="E276" s="421"/>
      <c r="F276" s="421"/>
      <c r="G276" s="421"/>
    </row>
    <row r="277" spans="1:7" hidden="1" x14ac:dyDescent="0.25">
      <c r="A277" s="417" t="s">
        <v>216</v>
      </c>
      <c r="B277" s="418" t="s">
        <v>136</v>
      </c>
      <c r="C277" s="421"/>
      <c r="D277" s="421"/>
      <c r="E277" s="421"/>
      <c r="F277" s="421"/>
      <c r="G277" s="421"/>
    </row>
    <row r="278" spans="1:7" x14ac:dyDescent="0.25">
      <c r="A278" s="417" t="s">
        <v>217</v>
      </c>
      <c r="B278" s="418" t="s">
        <v>137</v>
      </c>
      <c r="C278" s="421">
        <f>SUM(C279)</f>
        <v>0</v>
      </c>
      <c r="D278" s="421">
        <f>SUM(D279)</f>
        <v>0</v>
      </c>
      <c r="E278" s="421">
        <f>SUM(E279)</f>
        <v>2654.46</v>
      </c>
      <c r="F278" s="421">
        <f t="shared" ref="F278:G278" si="76">SUM(F279)</f>
        <v>2654.46</v>
      </c>
      <c r="G278" s="421">
        <f t="shared" si="76"/>
        <v>2654.46</v>
      </c>
    </row>
    <row r="279" spans="1:7" x14ac:dyDescent="0.25">
      <c r="A279" s="419" t="s">
        <v>517</v>
      </c>
      <c r="B279" s="331" t="s">
        <v>441</v>
      </c>
      <c r="C279" s="420"/>
      <c r="D279" s="420"/>
      <c r="E279" s="420">
        <v>2654.46</v>
      </c>
      <c r="F279" s="420">
        <v>2654.46</v>
      </c>
      <c r="G279" s="420">
        <v>2654.46</v>
      </c>
    </row>
    <row r="280" spans="1:7" x14ac:dyDescent="0.25">
      <c r="A280" s="417" t="s">
        <v>218</v>
      </c>
      <c r="B280" s="418" t="s">
        <v>138</v>
      </c>
      <c r="C280" s="421">
        <f>SUM(C281:C283)</f>
        <v>0</v>
      </c>
      <c r="D280" s="421">
        <f>SUM(D281:D283)</f>
        <v>0</v>
      </c>
      <c r="E280" s="421">
        <f>SUM(E281:E283)</f>
        <v>49039.14</v>
      </c>
      <c r="F280" s="421">
        <f>SUM(F281:F283)</f>
        <v>49039.14</v>
      </c>
      <c r="G280" s="421">
        <f>SUM(G281:G283)</f>
        <v>49039.14</v>
      </c>
    </row>
    <row r="281" spans="1:7" x14ac:dyDescent="0.25">
      <c r="A281" s="419" t="s">
        <v>518</v>
      </c>
      <c r="B281" s="331" t="s">
        <v>442</v>
      </c>
      <c r="C281" s="420"/>
      <c r="D281" s="420"/>
      <c r="E281" s="420">
        <f>32393.84+4645.3</f>
        <v>37039.14</v>
      </c>
      <c r="F281" s="420">
        <f t="shared" ref="F281:G281" si="77">32393.84+4645.3</f>
        <v>37039.14</v>
      </c>
      <c r="G281" s="420">
        <f t="shared" si="77"/>
        <v>37039.14</v>
      </c>
    </row>
    <row r="282" spans="1:7" x14ac:dyDescent="0.25">
      <c r="A282" s="419" t="s">
        <v>636</v>
      </c>
      <c r="B282" s="331" t="s">
        <v>443</v>
      </c>
      <c r="C282" s="420"/>
      <c r="D282" s="420"/>
      <c r="E282" s="420">
        <v>5000</v>
      </c>
      <c r="F282" s="420">
        <v>5000</v>
      </c>
      <c r="G282" s="420">
        <v>5000</v>
      </c>
    </row>
    <row r="283" spans="1:7" x14ac:dyDescent="0.25">
      <c r="A283" s="419" t="s">
        <v>572</v>
      </c>
      <c r="B283" s="334" t="s">
        <v>509</v>
      </c>
      <c r="C283" s="420"/>
      <c r="D283" s="420"/>
      <c r="E283" s="420">
        <v>7000</v>
      </c>
      <c r="F283" s="420">
        <v>7000</v>
      </c>
      <c r="G283" s="420">
        <v>7000</v>
      </c>
    </row>
    <row r="284" spans="1:7" x14ac:dyDescent="0.25">
      <c r="A284" s="417" t="s">
        <v>139</v>
      </c>
      <c r="B284" s="418" t="s">
        <v>140</v>
      </c>
      <c r="C284" s="421">
        <f>SUM(C285:C286)</f>
        <v>0</v>
      </c>
      <c r="D284" s="421">
        <f>SUM(D285:D286)</f>
        <v>0</v>
      </c>
      <c r="E284" s="421">
        <f>SUM(E285:E286)</f>
        <v>13345</v>
      </c>
      <c r="F284" s="421">
        <f>SUM(F285:F286)</f>
        <v>13345</v>
      </c>
      <c r="G284" s="421">
        <f>SUM(G285:G286)</f>
        <v>13345</v>
      </c>
    </row>
    <row r="285" spans="1:7" x14ac:dyDescent="0.25">
      <c r="A285" s="419" t="s">
        <v>637</v>
      </c>
      <c r="B285" s="331" t="s">
        <v>674</v>
      </c>
      <c r="C285" s="420"/>
      <c r="D285" s="420"/>
      <c r="E285" s="420">
        <v>10345</v>
      </c>
      <c r="F285" s="420">
        <v>10345</v>
      </c>
      <c r="G285" s="420">
        <v>10345</v>
      </c>
    </row>
    <row r="286" spans="1:7" x14ac:dyDescent="0.25">
      <c r="A286" s="419" t="s">
        <v>523</v>
      </c>
      <c r="B286" s="331" t="s">
        <v>444</v>
      </c>
      <c r="C286" s="420"/>
      <c r="D286" s="420"/>
      <c r="E286" s="420">
        <v>3000</v>
      </c>
      <c r="F286" s="420">
        <v>3000</v>
      </c>
      <c r="G286" s="420">
        <v>3000</v>
      </c>
    </row>
    <row r="287" spans="1:7" x14ac:dyDescent="0.25">
      <c r="A287" s="417" t="s">
        <v>141</v>
      </c>
      <c r="B287" s="418" t="s">
        <v>142</v>
      </c>
      <c r="C287" s="421">
        <f>SUM(C288:C290)</f>
        <v>0</v>
      </c>
      <c r="D287" s="421">
        <f>SUM(D288:D290)</f>
        <v>0</v>
      </c>
      <c r="E287" s="421">
        <f>SUM(E288:E290)</f>
        <v>27762.89</v>
      </c>
      <c r="F287" s="421">
        <f>SUM(F288:F290)</f>
        <v>27762.89</v>
      </c>
      <c r="G287" s="421">
        <f>SUM(G288:G290)</f>
        <v>27762.89</v>
      </c>
    </row>
    <row r="288" spans="1:7" x14ac:dyDescent="0.25">
      <c r="A288" s="335">
        <v>32391</v>
      </c>
      <c r="B288" s="334" t="s">
        <v>618</v>
      </c>
      <c r="C288" s="420"/>
      <c r="D288" s="420"/>
      <c r="E288" s="420">
        <v>1500</v>
      </c>
      <c r="F288" s="420">
        <v>1500</v>
      </c>
      <c r="G288" s="420">
        <v>1500</v>
      </c>
    </row>
    <row r="289" spans="1:7" x14ac:dyDescent="0.25">
      <c r="A289" s="335">
        <v>32394</v>
      </c>
      <c r="B289" s="334" t="s">
        <v>445</v>
      </c>
      <c r="C289" s="420"/>
      <c r="D289" s="420"/>
      <c r="E289" s="420">
        <v>3000</v>
      </c>
      <c r="F289" s="420">
        <v>3000</v>
      </c>
      <c r="G289" s="420">
        <v>3000</v>
      </c>
    </row>
    <row r="290" spans="1:7" x14ac:dyDescent="0.25">
      <c r="A290" s="419" t="s">
        <v>519</v>
      </c>
      <c r="B290" s="331" t="s">
        <v>315</v>
      </c>
      <c r="C290" s="420"/>
      <c r="D290" s="420"/>
      <c r="E290" s="420">
        <f>19944.82+3318.07</f>
        <v>23262.89</v>
      </c>
      <c r="F290" s="420">
        <f t="shared" ref="F290:G290" si="78">19944.82+3318.07</f>
        <v>23262.89</v>
      </c>
      <c r="G290" s="420">
        <f t="shared" si="78"/>
        <v>23262.89</v>
      </c>
    </row>
    <row r="291" spans="1:7" s="381" customFormat="1" x14ac:dyDescent="0.25">
      <c r="A291" s="417" t="s">
        <v>583</v>
      </c>
      <c r="B291" s="426" t="s">
        <v>638</v>
      </c>
      <c r="C291" s="421">
        <f>C292+C295+C297</f>
        <v>0</v>
      </c>
      <c r="D291" s="421">
        <f>D292+D295+D297</f>
        <v>0</v>
      </c>
      <c r="E291" s="421">
        <f>E292+E295+E297</f>
        <v>2112554.21</v>
      </c>
      <c r="F291" s="421">
        <f>F292+F295+F297</f>
        <v>2128200</v>
      </c>
      <c r="G291" s="421">
        <f>G292+G295+G297</f>
        <v>2129500</v>
      </c>
    </row>
    <row r="292" spans="1:7" s="381" customFormat="1" x14ac:dyDescent="0.25">
      <c r="A292" s="417" t="s">
        <v>584</v>
      </c>
      <c r="B292" s="426" t="s">
        <v>638</v>
      </c>
      <c r="C292" s="421">
        <f>C293+C294</f>
        <v>0</v>
      </c>
      <c r="D292" s="421">
        <f>D293+D294</f>
        <v>0</v>
      </c>
      <c r="E292" s="421">
        <f>E293+E294</f>
        <v>29954.21</v>
      </c>
      <c r="F292" s="421">
        <f>F293+F294</f>
        <v>31200</v>
      </c>
      <c r="G292" s="421">
        <f>G293+G294</f>
        <v>32500</v>
      </c>
    </row>
    <row r="293" spans="1:7" x14ac:dyDescent="0.25">
      <c r="A293" s="419" t="s">
        <v>585</v>
      </c>
      <c r="B293" s="427" t="s">
        <v>587</v>
      </c>
      <c r="C293" s="420"/>
      <c r="D293" s="420"/>
      <c r="E293" s="420">
        <v>7954.21</v>
      </c>
      <c r="F293" s="420">
        <v>8200</v>
      </c>
      <c r="G293" s="420">
        <v>8500</v>
      </c>
    </row>
    <row r="294" spans="1:7" x14ac:dyDescent="0.25">
      <c r="A294" s="419" t="s">
        <v>586</v>
      </c>
      <c r="B294" s="427" t="s">
        <v>588</v>
      </c>
      <c r="C294" s="420"/>
      <c r="D294" s="420"/>
      <c r="E294" s="420">
        <v>22000</v>
      </c>
      <c r="F294" s="420">
        <v>23000</v>
      </c>
      <c r="G294" s="420">
        <v>24000</v>
      </c>
    </row>
    <row r="295" spans="1:7" x14ac:dyDescent="0.25">
      <c r="A295" s="422" t="s">
        <v>619</v>
      </c>
      <c r="B295" s="426" t="s">
        <v>621</v>
      </c>
      <c r="C295" s="421">
        <f>C296</f>
        <v>0</v>
      </c>
      <c r="D295" s="421">
        <f>D296</f>
        <v>0</v>
      </c>
      <c r="E295" s="421">
        <f>E296</f>
        <v>4000</v>
      </c>
      <c r="F295" s="421">
        <f>F296</f>
        <v>4000</v>
      </c>
      <c r="G295" s="421">
        <f>G296</f>
        <v>4000</v>
      </c>
    </row>
    <row r="296" spans="1:7" x14ac:dyDescent="0.25">
      <c r="A296" s="423" t="s">
        <v>620</v>
      </c>
      <c r="B296" s="427" t="s">
        <v>626</v>
      </c>
      <c r="C296" s="420"/>
      <c r="D296" s="420"/>
      <c r="E296" s="420">
        <v>4000</v>
      </c>
      <c r="F296" s="420">
        <v>4000</v>
      </c>
      <c r="G296" s="420">
        <v>4000</v>
      </c>
    </row>
    <row r="297" spans="1:7" x14ac:dyDescent="0.25">
      <c r="A297" s="422" t="s">
        <v>622</v>
      </c>
      <c r="B297" s="426" t="s">
        <v>624</v>
      </c>
      <c r="C297" s="421">
        <f>C298</f>
        <v>0</v>
      </c>
      <c r="D297" s="421">
        <f>D298</f>
        <v>0</v>
      </c>
      <c r="E297" s="421">
        <f>E298</f>
        <v>2078600</v>
      </c>
      <c r="F297" s="421">
        <f>F298</f>
        <v>2093000</v>
      </c>
      <c r="G297" s="421">
        <f>G298</f>
        <v>2093000</v>
      </c>
    </row>
    <row r="298" spans="1:7" x14ac:dyDescent="0.25">
      <c r="A298" s="423" t="s">
        <v>623</v>
      </c>
      <c r="B298" s="427" t="s">
        <v>625</v>
      </c>
      <c r="C298" s="420"/>
      <c r="D298" s="420"/>
      <c r="E298" s="420">
        <v>2078600</v>
      </c>
      <c r="F298" s="420">
        <v>2093000</v>
      </c>
      <c r="G298" s="420">
        <v>2093000</v>
      </c>
    </row>
    <row r="299" spans="1:7" s="381" customFormat="1" x14ac:dyDescent="0.25">
      <c r="A299" s="417" t="s">
        <v>219</v>
      </c>
      <c r="B299" s="418" t="s">
        <v>144</v>
      </c>
      <c r="C299" s="380">
        <f>C300+C302+C303+C305+C307+C309+C310</f>
        <v>0</v>
      </c>
      <c r="D299" s="380">
        <f>D300+D302+D303+D305+D307+D309+D310</f>
        <v>0</v>
      </c>
      <c r="E299" s="380">
        <f>E300+E302+E303+E305+E307+E309+E310</f>
        <v>22654.46</v>
      </c>
      <c r="F299" s="380">
        <f t="shared" ref="F299:G299" si="79">F300+F302+F303+F305+F307+F309+F310</f>
        <v>22654.46</v>
      </c>
      <c r="G299" s="380">
        <f t="shared" si="79"/>
        <v>22654.46</v>
      </c>
    </row>
    <row r="300" spans="1:7" s="381" customFormat="1" x14ac:dyDescent="0.25">
      <c r="A300" s="417" t="s">
        <v>231</v>
      </c>
      <c r="B300" s="418" t="s">
        <v>147</v>
      </c>
      <c r="C300" s="380">
        <f>SUM(C301)</f>
        <v>0</v>
      </c>
      <c r="D300" s="380">
        <f>SUM(D301)</f>
        <v>0</v>
      </c>
      <c r="E300" s="380">
        <f>SUM(E301)</f>
        <v>2654.46</v>
      </c>
      <c r="F300" s="380">
        <f t="shared" ref="F300:G300" si="80">SUM(F301)</f>
        <v>2654.46</v>
      </c>
      <c r="G300" s="380">
        <f t="shared" si="80"/>
        <v>2654.46</v>
      </c>
    </row>
    <row r="301" spans="1:7" x14ac:dyDescent="0.25">
      <c r="A301" s="419" t="s">
        <v>520</v>
      </c>
      <c r="B301" s="331" t="s">
        <v>521</v>
      </c>
      <c r="C301" s="420"/>
      <c r="D301" s="420"/>
      <c r="E301" s="420">
        <v>2654.46</v>
      </c>
      <c r="F301" s="420">
        <v>2654.46</v>
      </c>
      <c r="G301" s="420">
        <v>2654.46</v>
      </c>
    </row>
    <row r="302" spans="1:7" hidden="1" x14ac:dyDescent="0.25">
      <c r="A302" s="417" t="s">
        <v>231</v>
      </c>
      <c r="B302" s="418" t="s">
        <v>147</v>
      </c>
      <c r="C302" s="444"/>
      <c r="D302" s="444"/>
      <c r="E302" s="444"/>
      <c r="F302" s="444"/>
      <c r="G302" s="444"/>
    </row>
    <row r="303" spans="1:7" x14ac:dyDescent="0.25">
      <c r="A303" s="417" t="s">
        <v>221</v>
      </c>
      <c r="B303" s="418" t="s">
        <v>148</v>
      </c>
      <c r="C303" s="380">
        <f>C304</f>
        <v>0</v>
      </c>
      <c r="D303" s="380">
        <f>D304</f>
        <v>0</v>
      </c>
      <c r="E303" s="380">
        <f>E304</f>
        <v>5000</v>
      </c>
      <c r="F303" s="380">
        <f>F304</f>
        <v>5000</v>
      </c>
      <c r="G303" s="380">
        <f>G304</f>
        <v>5000</v>
      </c>
    </row>
    <row r="304" spans="1:7" x14ac:dyDescent="0.25">
      <c r="A304" s="419" t="s">
        <v>573</v>
      </c>
      <c r="B304" s="331" t="s">
        <v>148</v>
      </c>
      <c r="C304" s="420"/>
      <c r="D304" s="420"/>
      <c r="E304" s="420">
        <f>3000+2000</f>
        <v>5000</v>
      </c>
      <c r="F304" s="420">
        <f t="shared" ref="F304:G304" si="81">3000+2000</f>
        <v>5000</v>
      </c>
      <c r="G304" s="420">
        <f t="shared" si="81"/>
        <v>5000</v>
      </c>
    </row>
    <row r="305" spans="1:7" x14ac:dyDescent="0.25">
      <c r="A305" s="417" t="s">
        <v>332</v>
      </c>
      <c r="B305" s="418" t="s">
        <v>149</v>
      </c>
      <c r="C305" s="380">
        <f>C306</f>
        <v>0</v>
      </c>
      <c r="D305" s="380">
        <f>D306</f>
        <v>0</v>
      </c>
      <c r="E305" s="380">
        <f>E306</f>
        <v>3000</v>
      </c>
      <c r="F305" s="380">
        <f>F306</f>
        <v>3000</v>
      </c>
      <c r="G305" s="380">
        <f>G306</f>
        <v>3000</v>
      </c>
    </row>
    <row r="306" spans="1:7" x14ac:dyDescent="0.25">
      <c r="A306" s="419" t="s">
        <v>639</v>
      </c>
      <c r="B306" s="331" t="s">
        <v>451</v>
      </c>
      <c r="C306" s="420"/>
      <c r="D306" s="420"/>
      <c r="E306" s="420">
        <v>3000</v>
      </c>
      <c r="F306" s="420">
        <v>3000</v>
      </c>
      <c r="G306" s="420">
        <v>3000</v>
      </c>
    </row>
    <row r="307" spans="1:7" x14ac:dyDescent="0.25">
      <c r="A307" s="417" t="s">
        <v>222</v>
      </c>
      <c r="B307" s="418" t="s">
        <v>150</v>
      </c>
      <c r="C307" s="380">
        <f>C308</f>
        <v>0</v>
      </c>
      <c r="D307" s="380">
        <f>D308</f>
        <v>0</v>
      </c>
      <c r="E307" s="380">
        <f>E308</f>
        <v>12000</v>
      </c>
      <c r="F307" s="380">
        <f>F308</f>
        <v>12000</v>
      </c>
      <c r="G307" s="380">
        <f>G308</f>
        <v>12000</v>
      </c>
    </row>
    <row r="308" spans="1:7" x14ac:dyDescent="0.25">
      <c r="A308" s="419" t="s">
        <v>640</v>
      </c>
      <c r="B308" s="331" t="s">
        <v>641</v>
      </c>
      <c r="C308" s="420"/>
      <c r="D308" s="420"/>
      <c r="E308" s="420">
        <v>12000</v>
      </c>
      <c r="F308" s="420">
        <v>12000</v>
      </c>
      <c r="G308" s="420">
        <v>12000</v>
      </c>
    </row>
    <row r="309" spans="1:7" hidden="1" x14ac:dyDescent="0.25">
      <c r="A309" s="417" t="s">
        <v>333</v>
      </c>
      <c r="B309" s="418" t="s">
        <v>151</v>
      </c>
      <c r="C309" s="444"/>
      <c r="D309" s="444"/>
      <c r="E309" s="444"/>
      <c r="F309" s="444"/>
      <c r="G309" s="444"/>
    </row>
    <row r="310" spans="1:7" hidden="1" x14ac:dyDescent="0.25">
      <c r="A310" s="417" t="s">
        <v>152</v>
      </c>
      <c r="B310" s="418" t="s">
        <v>144</v>
      </c>
      <c r="C310" s="443"/>
      <c r="D310" s="443"/>
      <c r="E310" s="443"/>
      <c r="F310" s="443"/>
      <c r="G310" s="443"/>
    </row>
    <row r="311" spans="1:7" x14ac:dyDescent="0.25">
      <c r="A311" s="445" t="s">
        <v>334</v>
      </c>
      <c r="B311" s="446" t="s">
        <v>153</v>
      </c>
      <c r="C311" s="408">
        <f>C312</f>
        <v>0</v>
      </c>
      <c r="D311" s="408">
        <f>D312</f>
        <v>0</v>
      </c>
      <c r="E311" s="408">
        <f>E312</f>
        <v>6900</v>
      </c>
      <c r="F311" s="408">
        <f t="shared" ref="F311:G311" si="82">F312</f>
        <v>7038</v>
      </c>
      <c r="G311" s="408">
        <f t="shared" si="82"/>
        <v>7178.76</v>
      </c>
    </row>
    <row r="312" spans="1:7" s="381" customFormat="1" x14ac:dyDescent="0.25">
      <c r="A312" s="417" t="s">
        <v>335</v>
      </c>
      <c r="B312" s="418" t="s">
        <v>157</v>
      </c>
      <c r="C312" s="380">
        <f>C313+C315+C316+C317</f>
        <v>0</v>
      </c>
      <c r="D312" s="380">
        <f>D313+D315+D316+D317</f>
        <v>0</v>
      </c>
      <c r="E312" s="380">
        <f>E313+E315+E316+E317</f>
        <v>6900</v>
      </c>
      <c r="F312" s="380">
        <f t="shared" ref="F312:G312" si="83">F313+F315+F316+F317</f>
        <v>7038</v>
      </c>
      <c r="G312" s="380">
        <f t="shared" si="83"/>
        <v>7178.76</v>
      </c>
    </row>
    <row r="313" spans="1:7" s="381" customFormat="1" x14ac:dyDescent="0.25">
      <c r="A313" s="417" t="s">
        <v>155</v>
      </c>
      <c r="B313" s="418" t="s">
        <v>156</v>
      </c>
      <c r="C313" s="380">
        <f>C314</f>
        <v>0</v>
      </c>
      <c r="D313" s="380">
        <f>D314</f>
        <v>0</v>
      </c>
      <c r="E313" s="380">
        <f>E314</f>
        <v>6200</v>
      </c>
      <c r="F313" s="380">
        <f>F314</f>
        <v>6300</v>
      </c>
      <c r="G313" s="380">
        <f>G314</f>
        <v>6400</v>
      </c>
    </row>
    <row r="314" spans="1:7" x14ac:dyDescent="0.25">
      <c r="A314" s="419" t="s">
        <v>642</v>
      </c>
      <c r="B314" s="331" t="s">
        <v>457</v>
      </c>
      <c r="C314" s="420"/>
      <c r="D314" s="420"/>
      <c r="E314" s="420">
        <v>6200</v>
      </c>
      <c r="F314" s="420">
        <v>6300</v>
      </c>
      <c r="G314" s="420">
        <v>6400</v>
      </c>
    </row>
    <row r="315" spans="1:7" s="381" customFormat="1" hidden="1" x14ac:dyDescent="0.25">
      <c r="A315" s="417" t="s">
        <v>336</v>
      </c>
      <c r="B315" s="418" t="s">
        <v>205</v>
      </c>
      <c r="C315" s="443"/>
      <c r="D315" s="443"/>
      <c r="E315" s="443"/>
      <c r="F315" s="443"/>
      <c r="G315" s="443"/>
    </row>
    <row r="316" spans="1:7" s="381" customFormat="1" hidden="1" x14ac:dyDescent="0.25">
      <c r="A316" s="417" t="s">
        <v>337</v>
      </c>
      <c r="B316" s="418" t="s">
        <v>157</v>
      </c>
      <c r="C316" s="443"/>
      <c r="D316" s="443"/>
      <c r="E316" s="443"/>
      <c r="F316" s="443"/>
      <c r="G316" s="443"/>
    </row>
    <row r="317" spans="1:7" s="381" customFormat="1" x14ac:dyDescent="0.25">
      <c r="A317" s="417" t="s">
        <v>338</v>
      </c>
      <c r="B317" s="418" t="s">
        <v>158</v>
      </c>
      <c r="C317" s="380">
        <f>C318</f>
        <v>0</v>
      </c>
      <c r="D317" s="380">
        <f>D318</f>
        <v>0</v>
      </c>
      <c r="E317" s="380">
        <f>E318</f>
        <v>700</v>
      </c>
      <c r="F317" s="380">
        <f>F318</f>
        <v>738</v>
      </c>
      <c r="G317" s="380">
        <f>G318</f>
        <v>778.76</v>
      </c>
    </row>
    <row r="318" spans="1:7" x14ac:dyDescent="0.25">
      <c r="A318" s="419" t="s">
        <v>643</v>
      </c>
      <c r="B318" s="331" t="s">
        <v>154</v>
      </c>
      <c r="C318" s="420"/>
      <c r="D318" s="420"/>
      <c r="E318" s="420">
        <v>700</v>
      </c>
      <c r="F318" s="420">
        <v>738</v>
      </c>
      <c r="G318" s="420">
        <v>778.76</v>
      </c>
    </row>
    <row r="319" spans="1:7" s="381" customFormat="1" hidden="1" x14ac:dyDescent="0.25">
      <c r="A319" s="445" t="s">
        <v>339</v>
      </c>
      <c r="B319" s="446" t="s">
        <v>327</v>
      </c>
      <c r="C319" s="408">
        <f t="shared" ref="C319:G320" si="84">C320</f>
        <v>0</v>
      </c>
      <c r="D319" s="408">
        <f t="shared" si="84"/>
        <v>0</v>
      </c>
      <c r="E319" s="408">
        <f t="shared" si="84"/>
        <v>0</v>
      </c>
      <c r="F319" s="408">
        <f t="shared" si="84"/>
        <v>0</v>
      </c>
      <c r="G319" s="408">
        <f t="shared" si="84"/>
        <v>0</v>
      </c>
    </row>
    <row r="320" spans="1:7" s="381" customFormat="1" hidden="1" x14ac:dyDescent="0.25">
      <c r="A320" s="417" t="s">
        <v>340</v>
      </c>
      <c r="B320" s="418" t="s">
        <v>163</v>
      </c>
      <c r="C320" s="380">
        <f t="shared" si="84"/>
        <v>0</v>
      </c>
      <c r="D320" s="380">
        <f t="shared" si="84"/>
        <v>0</v>
      </c>
      <c r="E320" s="380">
        <f t="shared" si="84"/>
        <v>0</v>
      </c>
      <c r="F320" s="380">
        <f t="shared" si="84"/>
        <v>0</v>
      </c>
      <c r="G320" s="380">
        <f t="shared" si="84"/>
        <v>0</v>
      </c>
    </row>
    <row r="321" spans="1:7" hidden="1" x14ac:dyDescent="0.25">
      <c r="A321" s="419" t="s">
        <v>341</v>
      </c>
      <c r="B321" s="331" t="s">
        <v>164</v>
      </c>
      <c r="C321" s="447"/>
      <c r="D321" s="447"/>
      <c r="E321" s="447"/>
      <c r="F321" s="447"/>
      <c r="G321" s="447"/>
    </row>
    <row r="322" spans="1:7" s="381" customFormat="1" x14ac:dyDescent="0.25">
      <c r="A322" s="445" t="s">
        <v>165</v>
      </c>
      <c r="B322" s="446" t="s">
        <v>98</v>
      </c>
      <c r="C322" s="408">
        <f>C323+C325+C329</f>
        <v>0</v>
      </c>
      <c r="D322" s="408">
        <f>D323+D325+D329</f>
        <v>0</v>
      </c>
      <c r="E322" s="408">
        <f>E323+E325+E329</f>
        <v>1000</v>
      </c>
      <c r="F322" s="408">
        <f t="shared" ref="F322:G322" si="85">F323+F325+F329</f>
        <v>1020</v>
      </c>
      <c r="G322" s="408">
        <f t="shared" si="85"/>
        <v>1040.4000000000001</v>
      </c>
    </row>
    <row r="323" spans="1:7" s="381" customFormat="1" hidden="1" x14ac:dyDescent="0.25">
      <c r="A323" s="417" t="s">
        <v>166</v>
      </c>
      <c r="B323" s="418" t="s">
        <v>69</v>
      </c>
      <c r="C323" s="380">
        <f>C324</f>
        <v>0</v>
      </c>
      <c r="D323" s="380">
        <f>D324</f>
        <v>0</v>
      </c>
      <c r="E323" s="380">
        <f>E324</f>
        <v>0</v>
      </c>
      <c r="F323" s="380">
        <f t="shared" ref="F323:G323" si="86">F324</f>
        <v>0</v>
      </c>
      <c r="G323" s="380">
        <f t="shared" si="86"/>
        <v>0</v>
      </c>
    </row>
    <row r="324" spans="1:7" hidden="1" x14ac:dyDescent="0.25">
      <c r="A324" s="419" t="s">
        <v>168</v>
      </c>
      <c r="B324" s="331" t="s">
        <v>167</v>
      </c>
      <c r="C324" s="447"/>
      <c r="D324" s="447"/>
      <c r="E324" s="447"/>
      <c r="F324" s="447"/>
      <c r="G324" s="447"/>
    </row>
    <row r="325" spans="1:7" s="381" customFormat="1" x14ac:dyDescent="0.25">
      <c r="A325" s="417" t="s">
        <v>342</v>
      </c>
      <c r="B325" s="418" t="s">
        <v>169</v>
      </c>
      <c r="C325" s="380">
        <f>SUM(C326:C328)</f>
        <v>0</v>
      </c>
      <c r="D325" s="380">
        <f>SUM(D326:D328)</f>
        <v>0</v>
      </c>
      <c r="E325" s="380">
        <f>E326+E328</f>
        <v>1000</v>
      </c>
      <c r="F325" s="380">
        <f t="shared" ref="F325:G325" si="87">F326+F328</f>
        <v>1020</v>
      </c>
      <c r="G325" s="380">
        <f t="shared" si="87"/>
        <v>1040.4000000000001</v>
      </c>
    </row>
    <row r="326" spans="1:7" s="381" customFormat="1" x14ac:dyDescent="0.25">
      <c r="A326" s="417" t="s">
        <v>343</v>
      </c>
      <c r="B326" s="418" t="s">
        <v>172</v>
      </c>
      <c r="C326" s="380">
        <f>C327</f>
        <v>0</v>
      </c>
      <c r="D326" s="380">
        <f>D327</f>
        <v>0</v>
      </c>
      <c r="E326" s="380">
        <f>E327</f>
        <v>1000</v>
      </c>
      <c r="F326" s="380">
        <f t="shared" ref="F326:G326" si="88">F327</f>
        <v>1020</v>
      </c>
      <c r="G326" s="380">
        <f t="shared" si="88"/>
        <v>1040.4000000000001</v>
      </c>
    </row>
    <row r="327" spans="1:7" x14ac:dyDescent="0.25">
      <c r="A327" s="419" t="s">
        <v>644</v>
      </c>
      <c r="B327" s="331" t="s">
        <v>172</v>
      </c>
      <c r="C327" s="420"/>
      <c r="D327" s="420"/>
      <c r="E327" s="420">
        <v>1000</v>
      </c>
      <c r="F327" s="420">
        <v>1020</v>
      </c>
      <c r="G327" s="420">
        <v>1040.4000000000001</v>
      </c>
    </row>
    <row r="328" spans="1:7" s="381" customFormat="1" hidden="1" x14ac:dyDescent="0.25">
      <c r="A328" s="417" t="s">
        <v>344</v>
      </c>
      <c r="B328" s="418" t="s">
        <v>173</v>
      </c>
      <c r="C328" s="443"/>
      <c r="D328" s="443"/>
      <c r="E328" s="443"/>
      <c r="F328" s="443"/>
      <c r="G328" s="443"/>
    </row>
    <row r="329" spans="1:7" s="381" customFormat="1" hidden="1" x14ac:dyDescent="0.25">
      <c r="A329" s="417" t="s">
        <v>345</v>
      </c>
      <c r="B329" s="418" t="s">
        <v>346</v>
      </c>
      <c r="C329" s="438">
        <f>C330</f>
        <v>0</v>
      </c>
      <c r="D329" s="438">
        <f>D330</f>
        <v>0</v>
      </c>
      <c r="E329" s="438">
        <f>E330</f>
        <v>0</v>
      </c>
      <c r="F329" s="438">
        <f t="shared" ref="F329:G329" si="89">F330</f>
        <v>0</v>
      </c>
      <c r="G329" s="438">
        <f t="shared" si="89"/>
        <v>0</v>
      </c>
    </row>
    <row r="330" spans="1:7" s="381" customFormat="1" hidden="1" x14ac:dyDescent="0.25">
      <c r="A330" s="417" t="s">
        <v>347</v>
      </c>
      <c r="B330" s="418" t="s">
        <v>348</v>
      </c>
      <c r="C330" s="504"/>
      <c r="D330" s="504"/>
      <c r="E330" s="504"/>
      <c r="F330" s="504"/>
      <c r="G330" s="504"/>
    </row>
    <row r="331" spans="1:7" s="381" customFormat="1" hidden="1" x14ac:dyDescent="0.25">
      <c r="A331" s="449" t="s">
        <v>349</v>
      </c>
      <c r="B331" s="450" t="s">
        <v>174</v>
      </c>
      <c r="C331" s="391">
        <f>C332+C335</f>
        <v>0</v>
      </c>
      <c r="D331" s="391">
        <f>D332+D335</f>
        <v>0</v>
      </c>
      <c r="E331" s="391">
        <f>E332+E335</f>
        <v>0</v>
      </c>
      <c r="F331" s="391">
        <f t="shared" ref="F331:G331" si="90">F332+F335</f>
        <v>0</v>
      </c>
      <c r="G331" s="391">
        <f t="shared" si="90"/>
        <v>0</v>
      </c>
    </row>
    <row r="332" spans="1:7" s="381" customFormat="1" hidden="1" x14ac:dyDescent="0.25">
      <c r="A332" s="445" t="s">
        <v>175</v>
      </c>
      <c r="B332" s="446" t="s">
        <v>176</v>
      </c>
      <c r="C332" s="408">
        <f t="shared" ref="C332:G333" si="91">C333</f>
        <v>0</v>
      </c>
      <c r="D332" s="408">
        <f t="shared" si="91"/>
        <v>0</v>
      </c>
      <c r="E332" s="408">
        <f t="shared" si="91"/>
        <v>0</v>
      </c>
      <c r="F332" s="408">
        <f t="shared" si="91"/>
        <v>0</v>
      </c>
      <c r="G332" s="408">
        <f t="shared" si="91"/>
        <v>0</v>
      </c>
    </row>
    <row r="333" spans="1:7" s="381" customFormat="1" hidden="1" x14ac:dyDescent="0.25">
      <c r="A333" s="417" t="s">
        <v>350</v>
      </c>
      <c r="B333" s="418" t="s">
        <v>181</v>
      </c>
      <c r="C333" s="380">
        <f t="shared" si="91"/>
        <v>0</v>
      </c>
      <c r="D333" s="380">
        <f t="shared" si="91"/>
        <v>0</v>
      </c>
      <c r="E333" s="380">
        <f t="shared" si="91"/>
        <v>0</v>
      </c>
      <c r="F333" s="380">
        <f t="shared" si="91"/>
        <v>0</v>
      </c>
      <c r="G333" s="380">
        <f t="shared" si="91"/>
        <v>0</v>
      </c>
    </row>
    <row r="334" spans="1:7" hidden="1" x14ac:dyDescent="0.25">
      <c r="A334" s="419" t="s">
        <v>351</v>
      </c>
      <c r="B334" s="331" t="s">
        <v>182</v>
      </c>
      <c r="C334" s="403"/>
      <c r="D334" s="403"/>
      <c r="E334" s="403"/>
      <c r="F334" s="403"/>
      <c r="G334" s="403"/>
    </row>
    <row r="335" spans="1:7" s="381" customFormat="1" hidden="1" x14ac:dyDescent="0.25">
      <c r="A335" s="445" t="s">
        <v>352</v>
      </c>
      <c r="B335" s="446" t="s">
        <v>183</v>
      </c>
      <c r="C335" s="408">
        <f>C336+C338+C347</f>
        <v>0</v>
      </c>
      <c r="D335" s="408">
        <f>D336+D338+D347</f>
        <v>0</v>
      </c>
      <c r="E335" s="408">
        <f>E336+E338+E347</f>
        <v>0</v>
      </c>
      <c r="F335" s="408">
        <f t="shared" ref="F335:G335" si="92">F336+F338+F347</f>
        <v>0</v>
      </c>
      <c r="G335" s="408">
        <f t="shared" si="92"/>
        <v>0</v>
      </c>
    </row>
    <row r="336" spans="1:7" s="381" customFormat="1" hidden="1" x14ac:dyDescent="0.25">
      <c r="A336" s="417" t="s">
        <v>206</v>
      </c>
      <c r="B336" s="418" t="s">
        <v>207</v>
      </c>
      <c r="C336" s="380">
        <f>C337</f>
        <v>0</v>
      </c>
      <c r="D336" s="380">
        <f>D337</f>
        <v>0</v>
      </c>
      <c r="E336" s="380">
        <f>E337</f>
        <v>0</v>
      </c>
      <c r="F336" s="380">
        <f t="shared" ref="F336:G336" si="93">F337</f>
        <v>0</v>
      </c>
      <c r="G336" s="380">
        <f t="shared" si="93"/>
        <v>0</v>
      </c>
    </row>
    <row r="337" spans="1:7" hidden="1" x14ac:dyDescent="0.25">
      <c r="A337" s="419" t="s">
        <v>208</v>
      </c>
      <c r="B337" s="331" t="s">
        <v>209</v>
      </c>
      <c r="C337" s="403"/>
      <c r="D337" s="403"/>
      <c r="E337" s="403"/>
      <c r="F337" s="403"/>
      <c r="G337" s="403"/>
    </row>
    <row r="338" spans="1:7" s="381" customFormat="1" hidden="1" x14ac:dyDescent="0.25">
      <c r="A338" s="417" t="s">
        <v>223</v>
      </c>
      <c r="B338" s="418" t="s">
        <v>184</v>
      </c>
      <c r="C338" s="380">
        <f>SUM(C339:C344)</f>
        <v>0</v>
      </c>
      <c r="D338" s="380">
        <f>SUM(D339:D344)</f>
        <v>0</v>
      </c>
      <c r="E338" s="380">
        <f>SUM(E339:E344)</f>
        <v>0</v>
      </c>
      <c r="F338" s="380">
        <f t="shared" ref="F338:G338" si="94">SUM(F339:F344)</f>
        <v>0</v>
      </c>
      <c r="G338" s="380">
        <f t="shared" si="94"/>
        <v>0</v>
      </c>
    </row>
    <row r="339" spans="1:7" hidden="1" x14ac:dyDescent="0.25">
      <c r="A339" s="419" t="s">
        <v>185</v>
      </c>
      <c r="B339" s="331" t="s">
        <v>186</v>
      </c>
      <c r="C339" s="447"/>
      <c r="D339" s="447"/>
      <c r="E339" s="447"/>
      <c r="F339" s="447"/>
      <c r="G339" s="447"/>
    </row>
    <row r="340" spans="1:7" hidden="1" x14ac:dyDescent="0.25">
      <c r="A340" s="419" t="s">
        <v>187</v>
      </c>
      <c r="B340" s="331" t="s">
        <v>188</v>
      </c>
      <c r="C340" s="447"/>
      <c r="D340" s="447"/>
      <c r="E340" s="447"/>
      <c r="F340" s="447"/>
      <c r="G340" s="447"/>
    </row>
    <row r="341" spans="1:7" hidden="1" x14ac:dyDescent="0.25">
      <c r="A341" s="419" t="s">
        <v>228</v>
      </c>
      <c r="B341" s="331" t="s">
        <v>189</v>
      </c>
      <c r="C341" s="448"/>
      <c r="D341" s="448"/>
      <c r="E341" s="448"/>
      <c r="F341" s="448"/>
      <c r="G341" s="448"/>
    </row>
    <row r="342" spans="1:7" hidden="1" x14ac:dyDescent="0.25">
      <c r="A342" s="419" t="s">
        <v>229</v>
      </c>
      <c r="B342" s="331" t="s">
        <v>190</v>
      </c>
      <c r="C342" s="448"/>
      <c r="D342" s="448"/>
      <c r="E342" s="448"/>
      <c r="F342" s="448"/>
      <c r="G342" s="448"/>
    </row>
    <row r="343" spans="1:7" hidden="1" x14ac:dyDescent="0.25">
      <c r="A343" s="419" t="s">
        <v>230</v>
      </c>
      <c r="B343" s="246" t="s">
        <v>191</v>
      </c>
      <c r="C343" s="448"/>
      <c r="D343" s="448"/>
      <c r="E343" s="448"/>
      <c r="F343" s="448"/>
      <c r="G343" s="448"/>
    </row>
    <row r="344" spans="1:7" hidden="1" x14ac:dyDescent="0.25">
      <c r="A344" s="419" t="s">
        <v>353</v>
      </c>
      <c r="B344" s="331" t="s">
        <v>192</v>
      </c>
      <c r="C344" s="448"/>
      <c r="D344" s="448"/>
      <c r="E344" s="448"/>
      <c r="F344" s="448"/>
      <c r="G344" s="448"/>
    </row>
    <row r="345" spans="1:7" hidden="1" x14ac:dyDescent="0.25">
      <c r="A345" s="417" t="s">
        <v>354</v>
      </c>
      <c r="B345" s="245" t="s">
        <v>193</v>
      </c>
      <c r="C345" s="155">
        <f>C346</f>
        <v>0</v>
      </c>
      <c r="D345" s="155">
        <f>D346</f>
        <v>0</v>
      </c>
      <c r="E345" s="155">
        <f>E346</f>
        <v>0</v>
      </c>
      <c r="F345" s="155">
        <f t="shared" ref="F345:G345" si="95">F346</f>
        <v>0</v>
      </c>
      <c r="G345" s="155">
        <f t="shared" si="95"/>
        <v>0</v>
      </c>
    </row>
    <row r="346" spans="1:7" hidden="1" x14ac:dyDescent="0.25">
      <c r="A346" s="419" t="s">
        <v>355</v>
      </c>
      <c r="B346" s="246" t="s">
        <v>193</v>
      </c>
      <c r="C346" s="448"/>
      <c r="D346" s="448"/>
      <c r="E346" s="448"/>
      <c r="F346" s="448"/>
      <c r="G346" s="448"/>
    </row>
    <row r="347" spans="1:7" s="381" customFormat="1" hidden="1" x14ac:dyDescent="0.25">
      <c r="A347" s="417" t="s">
        <v>232</v>
      </c>
      <c r="B347" s="418" t="s">
        <v>312</v>
      </c>
      <c r="C347" s="444">
        <f>C348</f>
        <v>0</v>
      </c>
      <c r="D347" s="444">
        <f>D348</f>
        <v>0</v>
      </c>
      <c r="E347" s="444">
        <f>E348</f>
        <v>0</v>
      </c>
      <c r="F347" s="444">
        <f t="shared" ref="F347:G347" si="96">F348</f>
        <v>0</v>
      </c>
      <c r="G347" s="444">
        <f t="shared" si="96"/>
        <v>0</v>
      </c>
    </row>
    <row r="348" spans="1:7" hidden="1" x14ac:dyDescent="0.25">
      <c r="A348" s="419" t="s">
        <v>233</v>
      </c>
      <c r="B348" s="331" t="s">
        <v>356</v>
      </c>
      <c r="C348" s="448"/>
      <c r="D348" s="448"/>
      <c r="E348" s="448"/>
      <c r="F348" s="448"/>
      <c r="G348" s="448"/>
    </row>
    <row r="349" spans="1:7" x14ac:dyDescent="0.25">
      <c r="A349" s="439">
        <v>52</v>
      </c>
      <c r="B349" s="440" t="s">
        <v>682</v>
      </c>
      <c r="C349" s="387">
        <f>C350+C376</f>
        <v>0</v>
      </c>
      <c r="D349" s="387">
        <f>D350+D376</f>
        <v>0</v>
      </c>
      <c r="E349" s="387">
        <f>E350+E376</f>
        <v>68314.61</v>
      </c>
      <c r="F349" s="387">
        <f>F350+F376</f>
        <v>68314.61</v>
      </c>
      <c r="G349" s="387">
        <f>G350+G376</f>
        <v>68314.61</v>
      </c>
    </row>
    <row r="350" spans="1:7" s="381" customFormat="1" x14ac:dyDescent="0.25">
      <c r="A350" s="441" t="s">
        <v>86</v>
      </c>
      <c r="B350" s="390" t="s">
        <v>87</v>
      </c>
      <c r="C350" s="391">
        <f>C351+C362+C373</f>
        <v>0</v>
      </c>
      <c r="D350" s="391">
        <f>D351+D362+D373</f>
        <v>0</v>
      </c>
      <c r="E350" s="391">
        <f>E351+E362+E373</f>
        <v>68314.61</v>
      </c>
      <c r="F350" s="391">
        <f>F351+F362+F373</f>
        <v>68314.61</v>
      </c>
      <c r="G350" s="391">
        <f>G351+G362+G373</f>
        <v>68314.61</v>
      </c>
    </row>
    <row r="351" spans="1:7" s="381" customFormat="1" x14ac:dyDescent="0.25">
      <c r="A351" s="415">
        <v>31</v>
      </c>
      <c r="B351" s="416" t="s">
        <v>88</v>
      </c>
      <c r="C351" s="408">
        <f>C352+C357+C359</f>
        <v>0</v>
      </c>
      <c r="D351" s="408">
        <f>D352+D357+D359</f>
        <v>0</v>
      </c>
      <c r="E351" s="408">
        <f>E352+E357+E359</f>
        <v>68314.61</v>
      </c>
      <c r="F351" s="408">
        <f t="shared" ref="F351:G351" si="97">F352+F357+F359</f>
        <v>68314.61</v>
      </c>
      <c r="G351" s="408">
        <f t="shared" si="97"/>
        <v>68314.61</v>
      </c>
    </row>
    <row r="352" spans="1:7" s="378" customFormat="1" x14ac:dyDescent="0.25">
      <c r="A352" s="417">
        <v>311</v>
      </c>
      <c r="B352" s="418" t="s">
        <v>89</v>
      </c>
      <c r="C352" s="380">
        <f>C353+C355+C356</f>
        <v>0</v>
      </c>
      <c r="D352" s="380">
        <f>D353+D355+D356</f>
        <v>0</v>
      </c>
      <c r="E352" s="380">
        <f>E353+E355+E356</f>
        <v>58639.15</v>
      </c>
      <c r="F352" s="380">
        <f t="shared" ref="F352:G352" si="98">F353+F355+F356</f>
        <v>58639.15</v>
      </c>
      <c r="G352" s="380">
        <f t="shared" si="98"/>
        <v>58639.15</v>
      </c>
    </row>
    <row r="353" spans="1:7" s="378" customFormat="1" x14ac:dyDescent="0.25">
      <c r="A353" s="417">
        <v>3111</v>
      </c>
      <c r="B353" s="418" t="s">
        <v>90</v>
      </c>
      <c r="C353" s="380">
        <f>SUM(C354)</f>
        <v>0</v>
      </c>
      <c r="D353" s="380">
        <f>SUM(D354)</f>
        <v>0</v>
      </c>
      <c r="E353" s="380">
        <f>SUM(E354)</f>
        <v>58639.15</v>
      </c>
      <c r="F353" s="380">
        <f t="shared" ref="F353:G353" si="99">SUM(F354)</f>
        <v>58639.15</v>
      </c>
      <c r="G353" s="380">
        <f t="shared" si="99"/>
        <v>58639.15</v>
      </c>
    </row>
    <row r="354" spans="1:7" x14ac:dyDescent="0.25">
      <c r="A354" s="419" t="s">
        <v>484</v>
      </c>
      <c r="B354" s="331" t="s">
        <v>90</v>
      </c>
      <c r="C354" s="403">
        <v>0</v>
      </c>
      <c r="D354" s="403"/>
      <c r="E354" s="403">
        <v>58639.15</v>
      </c>
      <c r="F354" s="403">
        <v>58639.15</v>
      </c>
      <c r="G354" s="403">
        <v>58639.15</v>
      </c>
    </row>
    <row r="355" spans="1:7" hidden="1" x14ac:dyDescent="0.25">
      <c r="A355" s="419" t="s">
        <v>93</v>
      </c>
      <c r="B355" s="331" t="s">
        <v>94</v>
      </c>
      <c r="C355" s="403"/>
      <c r="D355" s="403"/>
      <c r="E355" s="403"/>
      <c r="F355" s="403"/>
      <c r="G355" s="403"/>
    </row>
    <row r="356" spans="1:7" hidden="1" x14ac:dyDescent="0.25">
      <c r="A356" s="419" t="s">
        <v>95</v>
      </c>
      <c r="B356" s="217" t="s">
        <v>211</v>
      </c>
      <c r="C356" s="403"/>
      <c r="D356" s="403"/>
      <c r="E356" s="403"/>
      <c r="F356" s="403"/>
      <c r="G356" s="403"/>
    </row>
    <row r="357" spans="1:7" s="381" customFormat="1" hidden="1" x14ac:dyDescent="0.25">
      <c r="A357" s="417" t="s">
        <v>97</v>
      </c>
      <c r="B357" s="418" t="s">
        <v>98</v>
      </c>
      <c r="C357" s="380">
        <f>C358</f>
        <v>0</v>
      </c>
      <c r="D357" s="380">
        <f>D358</f>
        <v>0</v>
      </c>
      <c r="E357" s="380">
        <f>E358</f>
        <v>0</v>
      </c>
      <c r="F357" s="380">
        <f t="shared" ref="F357:G357" si="100">F358</f>
        <v>0</v>
      </c>
      <c r="G357" s="380">
        <f t="shared" si="100"/>
        <v>0</v>
      </c>
    </row>
    <row r="358" spans="1:7" hidden="1" x14ac:dyDescent="0.25">
      <c r="A358" s="419" t="s">
        <v>99</v>
      </c>
      <c r="B358" s="331" t="s">
        <v>98</v>
      </c>
      <c r="C358" s="403"/>
      <c r="D358" s="403"/>
      <c r="E358" s="403"/>
      <c r="F358" s="403"/>
      <c r="G358" s="403"/>
    </row>
    <row r="359" spans="1:7" s="381" customFormat="1" x14ac:dyDescent="0.25">
      <c r="A359" s="417" t="s">
        <v>212</v>
      </c>
      <c r="B359" s="418" t="s">
        <v>100</v>
      </c>
      <c r="C359" s="380">
        <f>C360</f>
        <v>0</v>
      </c>
      <c r="D359" s="380">
        <f>D360</f>
        <v>0</v>
      </c>
      <c r="E359" s="380">
        <f>E360</f>
        <v>9675.4599999999991</v>
      </c>
      <c r="F359" s="380">
        <f t="shared" ref="F359:G359" si="101">F360</f>
        <v>9675.4599999999991</v>
      </c>
      <c r="G359" s="380">
        <f t="shared" si="101"/>
        <v>9675.4599999999991</v>
      </c>
    </row>
    <row r="360" spans="1:7" s="381" customFormat="1" x14ac:dyDescent="0.25">
      <c r="A360" s="417" t="s">
        <v>213</v>
      </c>
      <c r="B360" s="418" t="s">
        <v>101</v>
      </c>
      <c r="C360" s="380">
        <f>SUM(C361)</f>
        <v>0</v>
      </c>
      <c r="D360" s="380">
        <f>SUM(D361)</f>
        <v>0</v>
      </c>
      <c r="E360" s="380">
        <f>SUM(E361)</f>
        <v>9675.4599999999991</v>
      </c>
      <c r="F360" s="380">
        <f t="shared" ref="F360:G360" si="102">SUM(F361)</f>
        <v>9675.4599999999991</v>
      </c>
      <c r="G360" s="380">
        <f t="shared" si="102"/>
        <v>9675.4599999999991</v>
      </c>
    </row>
    <row r="361" spans="1:7" x14ac:dyDescent="0.25">
      <c r="A361" s="419" t="s">
        <v>494</v>
      </c>
      <c r="B361" s="331" t="s">
        <v>101</v>
      </c>
      <c r="C361" s="403">
        <v>0</v>
      </c>
      <c r="D361" s="403"/>
      <c r="E361" s="403">
        <v>9675.4599999999991</v>
      </c>
      <c r="F361" s="403">
        <v>9675.4599999999991</v>
      </c>
      <c r="G361" s="403">
        <v>9675.4599999999991</v>
      </c>
    </row>
    <row r="362" spans="1:7" s="381" customFormat="1" hidden="1" x14ac:dyDescent="0.25">
      <c r="A362" s="415">
        <v>32</v>
      </c>
      <c r="B362" s="416" t="s">
        <v>102</v>
      </c>
      <c r="C362" s="408">
        <f>C363+C367+C371</f>
        <v>0</v>
      </c>
      <c r="D362" s="408">
        <f>D363+D367+D371</f>
        <v>0</v>
      </c>
      <c r="E362" s="408">
        <f>E363+E367+E371</f>
        <v>0</v>
      </c>
      <c r="F362" s="408">
        <f>F363+F367+F371</f>
        <v>0</v>
      </c>
      <c r="G362" s="408">
        <f>G363+G367+G371</f>
        <v>0</v>
      </c>
    </row>
    <row r="363" spans="1:7" s="381" customFormat="1" hidden="1" x14ac:dyDescent="0.25">
      <c r="A363" s="417" t="s">
        <v>112</v>
      </c>
      <c r="B363" s="418" t="s">
        <v>113</v>
      </c>
      <c r="C363" s="380">
        <f>C364+C365+C366</f>
        <v>0</v>
      </c>
      <c r="D363" s="380">
        <f>D364+D365+D366</f>
        <v>0</v>
      </c>
      <c r="E363" s="380">
        <f>E364+E365+E366</f>
        <v>0</v>
      </c>
      <c r="F363" s="380">
        <f t="shared" ref="F363:G363" si="103">F364+F365+F366</f>
        <v>0</v>
      </c>
      <c r="G363" s="380">
        <f t="shared" si="103"/>
        <v>0</v>
      </c>
    </row>
    <row r="364" spans="1:7" hidden="1" x14ac:dyDescent="0.25">
      <c r="A364" s="419" t="s">
        <v>116</v>
      </c>
      <c r="B364" s="331" t="s">
        <v>117</v>
      </c>
      <c r="C364" s="403"/>
      <c r="D364" s="403"/>
      <c r="E364" s="403"/>
      <c r="F364" s="403"/>
      <c r="G364" s="403"/>
    </row>
    <row r="365" spans="1:7" hidden="1" x14ac:dyDescent="0.25">
      <c r="A365" s="419" t="s">
        <v>118</v>
      </c>
      <c r="B365" s="331" t="s">
        <v>119</v>
      </c>
      <c r="C365" s="403"/>
      <c r="D365" s="403"/>
      <c r="E365" s="403"/>
      <c r="F365" s="403"/>
      <c r="G365" s="403"/>
    </row>
    <row r="366" spans="1:7" hidden="1" x14ac:dyDescent="0.25">
      <c r="A366" s="419" t="s">
        <v>120</v>
      </c>
      <c r="B366" s="331" t="s">
        <v>330</v>
      </c>
      <c r="C366" s="403"/>
      <c r="D366" s="403"/>
      <c r="E366" s="403"/>
      <c r="F366" s="403"/>
      <c r="G366" s="403"/>
    </row>
    <row r="367" spans="1:7" s="381" customFormat="1" hidden="1" x14ac:dyDescent="0.25">
      <c r="A367" s="417" t="s">
        <v>126</v>
      </c>
      <c r="B367" s="418" t="s">
        <v>127</v>
      </c>
      <c r="C367" s="380">
        <f t="shared" ref="C367:G368" si="104">C368</f>
        <v>0</v>
      </c>
      <c r="D367" s="380">
        <f t="shared" si="104"/>
        <v>0</v>
      </c>
      <c r="E367" s="380">
        <f t="shared" si="104"/>
        <v>0</v>
      </c>
      <c r="F367" s="380">
        <f t="shared" si="104"/>
        <v>0</v>
      </c>
      <c r="G367" s="380">
        <f t="shared" si="104"/>
        <v>0</v>
      </c>
    </row>
    <row r="368" spans="1:7" s="381" customFormat="1" hidden="1" x14ac:dyDescent="0.25">
      <c r="A368" s="417" t="s">
        <v>141</v>
      </c>
      <c r="B368" s="418" t="s">
        <v>142</v>
      </c>
      <c r="C368" s="380">
        <f t="shared" si="104"/>
        <v>0</v>
      </c>
      <c r="D368" s="380">
        <f t="shared" si="104"/>
        <v>0</v>
      </c>
      <c r="E368" s="380">
        <f t="shared" si="104"/>
        <v>0</v>
      </c>
      <c r="F368" s="380">
        <f t="shared" si="104"/>
        <v>0</v>
      </c>
      <c r="G368" s="380">
        <f t="shared" si="104"/>
        <v>0</v>
      </c>
    </row>
    <row r="369" spans="1:7" hidden="1" x14ac:dyDescent="0.25">
      <c r="A369" s="419" t="s">
        <v>519</v>
      </c>
      <c r="B369" s="331" t="s">
        <v>315</v>
      </c>
      <c r="C369" s="403"/>
      <c r="D369" s="403"/>
      <c r="E369" s="403"/>
      <c r="F369" s="403"/>
      <c r="G369" s="403"/>
    </row>
    <row r="370" spans="1:7" hidden="1" x14ac:dyDescent="0.25">
      <c r="A370" s="417" t="s">
        <v>219</v>
      </c>
      <c r="B370" s="418" t="s">
        <v>144</v>
      </c>
      <c r="C370" s="380">
        <f>C371</f>
        <v>0</v>
      </c>
      <c r="D370" s="380"/>
      <c r="E370" s="380"/>
      <c r="F370" s="380"/>
      <c r="G370" s="380"/>
    </row>
    <row r="371" spans="1:7" s="381" customFormat="1" hidden="1" x14ac:dyDescent="0.25">
      <c r="A371" s="417" t="s">
        <v>221</v>
      </c>
      <c r="B371" s="418" t="s">
        <v>148</v>
      </c>
      <c r="C371" s="380">
        <f>C372</f>
        <v>0</v>
      </c>
      <c r="D371" s="380">
        <f>D372</f>
        <v>0</v>
      </c>
      <c r="E371" s="380">
        <f>E372</f>
        <v>0</v>
      </c>
      <c r="F371" s="380">
        <f>F372</f>
        <v>0</v>
      </c>
      <c r="G371" s="380">
        <f>G372</f>
        <v>0</v>
      </c>
    </row>
    <row r="372" spans="1:7" hidden="1" x14ac:dyDescent="0.25">
      <c r="A372" s="419" t="s">
        <v>573</v>
      </c>
      <c r="B372" s="331" t="s">
        <v>148</v>
      </c>
      <c r="C372" s="403"/>
      <c r="D372" s="403"/>
      <c r="E372" s="403"/>
      <c r="F372" s="403"/>
      <c r="G372" s="403"/>
    </row>
    <row r="373" spans="1:7" s="381" customFormat="1" hidden="1" x14ac:dyDescent="0.25">
      <c r="A373" s="417" t="s">
        <v>165</v>
      </c>
      <c r="B373" s="418" t="s">
        <v>348</v>
      </c>
      <c r="C373" s="380">
        <f t="shared" ref="C373:G374" si="105">C374</f>
        <v>0</v>
      </c>
      <c r="D373" s="380">
        <f t="shared" si="105"/>
        <v>0</v>
      </c>
      <c r="E373" s="380">
        <f t="shared" si="105"/>
        <v>0</v>
      </c>
      <c r="F373" s="380">
        <f t="shared" si="105"/>
        <v>0</v>
      </c>
      <c r="G373" s="380">
        <f t="shared" si="105"/>
        <v>0</v>
      </c>
    </row>
    <row r="374" spans="1:7" s="381" customFormat="1" hidden="1" x14ac:dyDescent="0.25">
      <c r="A374" s="417" t="s">
        <v>342</v>
      </c>
      <c r="B374" s="418" t="s">
        <v>169</v>
      </c>
      <c r="C374" s="380">
        <f t="shared" si="105"/>
        <v>0</v>
      </c>
      <c r="D374" s="380">
        <f t="shared" si="105"/>
        <v>0</v>
      </c>
      <c r="E374" s="380">
        <f t="shared" si="105"/>
        <v>0</v>
      </c>
      <c r="F374" s="380">
        <f t="shared" si="105"/>
        <v>0</v>
      </c>
      <c r="G374" s="380">
        <f t="shared" si="105"/>
        <v>0</v>
      </c>
    </row>
    <row r="375" spans="1:7" hidden="1" x14ac:dyDescent="0.25">
      <c r="A375" s="419" t="s">
        <v>357</v>
      </c>
      <c r="B375" s="331" t="s">
        <v>358</v>
      </c>
      <c r="C375" s="403"/>
      <c r="D375" s="403"/>
      <c r="E375" s="403"/>
      <c r="F375" s="403"/>
      <c r="G375" s="403"/>
    </row>
    <row r="376" spans="1:7" hidden="1" x14ac:dyDescent="0.25">
      <c r="A376" s="451" t="s">
        <v>349</v>
      </c>
      <c r="B376" s="390" t="s">
        <v>174</v>
      </c>
      <c r="C376" s="391">
        <f>C377+C382</f>
        <v>0</v>
      </c>
      <c r="D376" s="391">
        <f>D377+D382</f>
        <v>0</v>
      </c>
      <c r="E376" s="391">
        <f>E377+E382</f>
        <v>0</v>
      </c>
      <c r="F376" s="391">
        <f t="shared" ref="F376:G376" si="106">F377+F382</f>
        <v>0</v>
      </c>
      <c r="G376" s="391">
        <f t="shared" si="106"/>
        <v>0</v>
      </c>
    </row>
    <row r="377" spans="1:7" hidden="1" x14ac:dyDescent="0.25">
      <c r="A377" s="445" t="s">
        <v>196</v>
      </c>
      <c r="B377" s="416" t="s">
        <v>197</v>
      </c>
      <c r="C377" s="408">
        <f>C378</f>
        <v>0</v>
      </c>
      <c r="D377" s="408">
        <f>D378</f>
        <v>0</v>
      </c>
      <c r="E377" s="408">
        <f>E378</f>
        <v>0</v>
      </c>
      <c r="F377" s="408">
        <f t="shared" ref="F377:G377" si="107">F378</f>
        <v>0</v>
      </c>
      <c r="G377" s="408">
        <f t="shared" si="107"/>
        <v>0</v>
      </c>
    </row>
    <row r="378" spans="1:7" hidden="1" x14ac:dyDescent="0.25">
      <c r="A378" s="417" t="s">
        <v>198</v>
      </c>
      <c r="B378" s="433" t="s">
        <v>199</v>
      </c>
      <c r="C378" s="380">
        <f>C379+C380+C381</f>
        <v>0</v>
      </c>
      <c r="D378" s="380">
        <f>D379+D380+D381</f>
        <v>0</v>
      </c>
      <c r="E378" s="380">
        <f>E379+E380+E381</f>
        <v>0</v>
      </c>
      <c r="F378" s="380">
        <f t="shared" ref="F378:G378" si="108">F379+F380+F381</f>
        <v>0</v>
      </c>
      <c r="G378" s="380">
        <f t="shared" si="108"/>
        <v>0</v>
      </c>
    </row>
    <row r="379" spans="1:7" hidden="1" x14ac:dyDescent="0.25">
      <c r="A379" s="419" t="s">
        <v>200</v>
      </c>
      <c r="B379" s="442" t="s">
        <v>199</v>
      </c>
      <c r="C379" s="403"/>
      <c r="D379" s="403"/>
      <c r="E379" s="403"/>
      <c r="F379" s="403"/>
      <c r="G379" s="403"/>
    </row>
    <row r="380" spans="1:7" hidden="1" x14ac:dyDescent="0.25">
      <c r="A380" s="419" t="s">
        <v>229</v>
      </c>
      <c r="B380" s="442" t="s">
        <v>190</v>
      </c>
      <c r="C380" s="403"/>
      <c r="D380" s="403"/>
      <c r="E380" s="403"/>
      <c r="F380" s="403"/>
      <c r="G380" s="403"/>
    </row>
    <row r="381" spans="1:7" hidden="1" x14ac:dyDescent="0.25">
      <c r="A381" s="419" t="s">
        <v>353</v>
      </c>
      <c r="B381" s="442" t="s">
        <v>192</v>
      </c>
      <c r="C381" s="403"/>
      <c r="D381" s="403"/>
      <c r="E381" s="403"/>
      <c r="F381" s="403"/>
      <c r="G381" s="403"/>
    </row>
    <row r="382" spans="1:7" s="381" customFormat="1" hidden="1" x14ac:dyDescent="0.25">
      <c r="A382" s="415" t="s">
        <v>196</v>
      </c>
      <c r="B382" s="434" t="s">
        <v>197</v>
      </c>
      <c r="C382" s="408">
        <f>C383</f>
        <v>0</v>
      </c>
      <c r="D382" s="408">
        <f>D383</f>
        <v>0</v>
      </c>
      <c r="E382" s="408">
        <f>E383</f>
        <v>0</v>
      </c>
      <c r="F382" s="408">
        <f t="shared" ref="F382:G382" si="109">F383</f>
        <v>0</v>
      </c>
      <c r="G382" s="408">
        <f t="shared" si="109"/>
        <v>0</v>
      </c>
    </row>
    <row r="383" spans="1:7" hidden="1" x14ac:dyDescent="0.25">
      <c r="A383" s="417" t="s">
        <v>198</v>
      </c>
      <c r="B383" s="418" t="s">
        <v>199</v>
      </c>
      <c r="C383" s="380"/>
      <c r="D383" s="380"/>
      <c r="E383" s="380"/>
      <c r="F383" s="380"/>
      <c r="G383" s="380"/>
    </row>
    <row r="384" spans="1:7" hidden="1" x14ac:dyDescent="0.25">
      <c r="A384" s="419" t="s">
        <v>200</v>
      </c>
      <c r="B384" s="331" t="s">
        <v>199</v>
      </c>
      <c r="C384" s="403"/>
      <c r="D384" s="403"/>
      <c r="E384" s="403"/>
      <c r="F384" s="403"/>
      <c r="G384" s="403"/>
    </row>
    <row r="385" spans="1:7" s="381" customFormat="1" hidden="1" x14ac:dyDescent="0.25">
      <c r="A385" s="439">
        <v>52</v>
      </c>
      <c r="B385" s="440" t="s">
        <v>227</v>
      </c>
      <c r="C385" s="387"/>
      <c r="D385" s="387"/>
      <c r="E385" s="387"/>
      <c r="F385" s="387"/>
      <c r="G385" s="387"/>
    </row>
    <row r="386" spans="1:7" s="381" customFormat="1" hidden="1" x14ac:dyDescent="0.25">
      <c r="A386" s="441" t="s">
        <v>86</v>
      </c>
      <c r="B386" s="390" t="s">
        <v>87</v>
      </c>
      <c r="C386" s="391"/>
      <c r="D386" s="391"/>
      <c r="E386" s="391"/>
      <c r="F386" s="391"/>
      <c r="G386" s="391"/>
    </row>
    <row r="387" spans="1:7" s="381" customFormat="1" hidden="1" x14ac:dyDescent="0.25">
      <c r="A387" s="415">
        <v>31</v>
      </c>
      <c r="B387" s="416" t="s">
        <v>88</v>
      </c>
      <c r="C387" s="408"/>
      <c r="D387" s="408"/>
      <c r="E387" s="408"/>
      <c r="F387" s="408"/>
      <c r="G387" s="408"/>
    </row>
    <row r="388" spans="1:7" s="381" customFormat="1" hidden="1" x14ac:dyDescent="0.25">
      <c r="A388" s="417">
        <v>311</v>
      </c>
      <c r="B388" s="418" t="s">
        <v>89</v>
      </c>
      <c r="C388" s="380"/>
      <c r="D388" s="380"/>
      <c r="E388" s="380"/>
      <c r="F388" s="380"/>
      <c r="G388" s="380"/>
    </row>
    <row r="389" spans="1:7" hidden="1" x14ac:dyDescent="0.25">
      <c r="A389" s="419">
        <v>3111</v>
      </c>
      <c r="B389" s="331" t="s">
        <v>90</v>
      </c>
      <c r="C389" s="403"/>
      <c r="D389" s="403"/>
      <c r="E389" s="403"/>
      <c r="F389" s="403"/>
      <c r="G389" s="403"/>
    </row>
    <row r="390" spans="1:7" s="381" customFormat="1" hidden="1" x14ac:dyDescent="0.25">
      <c r="A390" s="417" t="s">
        <v>212</v>
      </c>
      <c r="B390" s="418" t="s">
        <v>100</v>
      </c>
      <c r="C390" s="380"/>
      <c r="D390" s="380"/>
      <c r="E390" s="380"/>
      <c r="F390" s="380"/>
      <c r="G390" s="380"/>
    </row>
    <row r="391" spans="1:7" hidden="1" x14ac:dyDescent="0.25">
      <c r="A391" s="419" t="s">
        <v>213</v>
      </c>
      <c r="B391" s="331" t="s">
        <v>101</v>
      </c>
      <c r="C391" s="403"/>
      <c r="D391" s="403"/>
      <c r="E391" s="403"/>
      <c r="F391" s="403"/>
      <c r="G391" s="403"/>
    </row>
    <row r="392" spans="1:7" x14ac:dyDescent="0.25">
      <c r="A392" s="439" t="s">
        <v>72</v>
      </c>
      <c r="B392" s="440" t="s">
        <v>73</v>
      </c>
      <c r="C392" s="387">
        <f>C393+C405</f>
        <v>0</v>
      </c>
      <c r="D392" s="387">
        <f>D393+D405</f>
        <v>0</v>
      </c>
      <c r="E392" s="387">
        <f>E393+E405</f>
        <v>2000</v>
      </c>
      <c r="F392" s="387">
        <f t="shared" ref="F392:G392" si="110">F393+F405</f>
        <v>2220</v>
      </c>
      <c r="G392" s="387">
        <f t="shared" si="110"/>
        <v>2440.4</v>
      </c>
    </row>
    <row r="393" spans="1:7" s="381" customFormat="1" x14ac:dyDescent="0.25">
      <c r="A393" s="441" t="s">
        <v>86</v>
      </c>
      <c r="B393" s="390" t="s">
        <v>87</v>
      </c>
      <c r="C393" s="391">
        <f>C394</f>
        <v>0</v>
      </c>
      <c r="D393" s="391">
        <f>D394</f>
        <v>0</v>
      </c>
      <c r="E393" s="391">
        <f>E394</f>
        <v>2000</v>
      </c>
      <c r="F393" s="391">
        <f t="shared" ref="F393:G393" si="111">F394</f>
        <v>2220</v>
      </c>
      <c r="G393" s="391">
        <f t="shared" si="111"/>
        <v>2440.4</v>
      </c>
    </row>
    <row r="394" spans="1:7" s="381" customFormat="1" x14ac:dyDescent="0.25">
      <c r="A394" s="415">
        <v>32</v>
      </c>
      <c r="B394" s="416" t="s">
        <v>102</v>
      </c>
      <c r="C394" s="408">
        <f>C395+C400</f>
        <v>0</v>
      </c>
      <c r="D394" s="408">
        <f>D395+D400</f>
        <v>0</v>
      </c>
      <c r="E394" s="408">
        <f>E395+E400+E402</f>
        <v>2000</v>
      </c>
      <c r="F394" s="408">
        <f t="shared" ref="F394:G394" si="112">F395+F400+F402</f>
        <v>2220</v>
      </c>
      <c r="G394" s="408">
        <f t="shared" si="112"/>
        <v>2440.4</v>
      </c>
    </row>
    <row r="395" spans="1:7" s="378" customFormat="1" x14ac:dyDescent="0.25">
      <c r="A395" s="417">
        <v>321</v>
      </c>
      <c r="B395" s="418" t="s">
        <v>103</v>
      </c>
      <c r="C395" s="380">
        <f>C396+C399</f>
        <v>0</v>
      </c>
      <c r="D395" s="380">
        <f>D396+D399</f>
        <v>0</v>
      </c>
      <c r="E395" s="380">
        <f>E396+E399</f>
        <v>1000</v>
      </c>
      <c r="F395" s="380">
        <f t="shared" ref="F395:G395" si="113">F396+F399</f>
        <v>1200</v>
      </c>
      <c r="G395" s="380">
        <f t="shared" si="113"/>
        <v>1400</v>
      </c>
    </row>
    <row r="396" spans="1:7" s="378" customFormat="1" x14ac:dyDescent="0.25">
      <c r="A396" s="417" t="s">
        <v>104</v>
      </c>
      <c r="B396" s="418" t="s">
        <v>105</v>
      </c>
      <c r="C396" s="380">
        <f>SUM(C397:C398)</f>
        <v>0</v>
      </c>
      <c r="D396" s="380">
        <f>SUM(D397:D398)</f>
        <v>0</v>
      </c>
      <c r="E396" s="380">
        <f>SUM(E397:E398)</f>
        <v>1000</v>
      </c>
      <c r="F396" s="380">
        <f t="shared" ref="F396:G396" si="114">SUM(F397:F398)</f>
        <v>1200</v>
      </c>
      <c r="G396" s="380">
        <f t="shared" si="114"/>
        <v>1400</v>
      </c>
    </row>
    <row r="397" spans="1:7" s="378" customFormat="1" x14ac:dyDescent="0.25">
      <c r="A397" s="419" t="s">
        <v>525</v>
      </c>
      <c r="B397" s="331" t="s">
        <v>407</v>
      </c>
      <c r="C397" s="403"/>
      <c r="D397" s="403"/>
      <c r="E397" s="403">
        <v>500</v>
      </c>
      <c r="F397" s="403">
        <v>600</v>
      </c>
      <c r="G397" s="403">
        <v>700</v>
      </c>
    </row>
    <row r="398" spans="1:7" s="394" customFormat="1" x14ac:dyDescent="0.25">
      <c r="A398" s="419" t="s">
        <v>514</v>
      </c>
      <c r="B398" s="331" t="s">
        <v>410</v>
      </c>
      <c r="C398" s="403"/>
      <c r="D398" s="403"/>
      <c r="E398" s="403">
        <v>500</v>
      </c>
      <c r="F398" s="403">
        <v>600</v>
      </c>
      <c r="G398" s="403">
        <v>700</v>
      </c>
    </row>
    <row r="399" spans="1:7" hidden="1" x14ac:dyDescent="0.25">
      <c r="A399" s="417" t="s">
        <v>108</v>
      </c>
      <c r="B399" s="418" t="s">
        <v>109</v>
      </c>
      <c r="C399" s="380"/>
      <c r="D399" s="380"/>
      <c r="E399" s="380"/>
      <c r="F399" s="380"/>
      <c r="G399" s="380"/>
    </row>
    <row r="400" spans="1:7" s="381" customFormat="1" hidden="1" x14ac:dyDescent="0.25">
      <c r="A400" s="417" t="s">
        <v>112</v>
      </c>
      <c r="B400" s="418" t="s">
        <v>113</v>
      </c>
      <c r="C400" s="380">
        <f>C401</f>
        <v>0</v>
      </c>
      <c r="D400" s="380">
        <f>D401</f>
        <v>0</v>
      </c>
      <c r="E400" s="380">
        <f>E401</f>
        <v>0</v>
      </c>
      <c r="F400" s="380">
        <f t="shared" ref="F400:G400" si="115">F401</f>
        <v>0</v>
      </c>
      <c r="G400" s="380">
        <f t="shared" si="115"/>
        <v>0</v>
      </c>
    </row>
    <row r="401" spans="1:7" hidden="1" x14ac:dyDescent="0.25">
      <c r="A401" s="417" t="s">
        <v>116</v>
      </c>
      <c r="B401" s="418" t="s">
        <v>117</v>
      </c>
      <c r="C401" s="380"/>
      <c r="D401" s="380"/>
      <c r="E401" s="380"/>
      <c r="F401" s="380"/>
      <c r="G401" s="380"/>
    </row>
    <row r="402" spans="1:7" x14ac:dyDescent="0.25">
      <c r="A402" s="417" t="s">
        <v>583</v>
      </c>
      <c r="B402" s="418" t="s">
        <v>638</v>
      </c>
      <c r="C402" s="380">
        <f t="shared" ref="C402:G403" si="116">C403</f>
        <v>0</v>
      </c>
      <c r="D402" s="380">
        <f t="shared" si="116"/>
        <v>0</v>
      </c>
      <c r="E402" s="380">
        <f t="shared" si="116"/>
        <v>1000</v>
      </c>
      <c r="F402" s="380">
        <f t="shared" si="116"/>
        <v>1020</v>
      </c>
      <c r="G402" s="380">
        <f t="shared" si="116"/>
        <v>1040.4000000000001</v>
      </c>
    </row>
    <row r="403" spans="1:7" x14ac:dyDescent="0.25">
      <c r="A403" s="417" t="s">
        <v>584</v>
      </c>
      <c r="B403" s="426" t="s">
        <v>638</v>
      </c>
      <c r="C403" s="380">
        <f t="shared" si="116"/>
        <v>0</v>
      </c>
      <c r="D403" s="380">
        <f t="shared" si="116"/>
        <v>0</v>
      </c>
      <c r="E403" s="380">
        <f t="shared" si="116"/>
        <v>1000</v>
      </c>
      <c r="F403" s="380">
        <f t="shared" si="116"/>
        <v>1020</v>
      </c>
      <c r="G403" s="380">
        <f t="shared" si="116"/>
        <v>1040.4000000000001</v>
      </c>
    </row>
    <row r="404" spans="1:7" x14ac:dyDescent="0.25">
      <c r="A404" s="419" t="s">
        <v>586</v>
      </c>
      <c r="B404" s="427" t="s">
        <v>588</v>
      </c>
      <c r="C404" s="403"/>
      <c r="D404" s="403"/>
      <c r="E404" s="403">
        <v>1000</v>
      </c>
      <c r="F404" s="403">
        <v>1020</v>
      </c>
      <c r="G404" s="403">
        <v>1040.4000000000001</v>
      </c>
    </row>
    <row r="405" spans="1:7" hidden="1" x14ac:dyDescent="0.25">
      <c r="A405" s="451" t="s">
        <v>349</v>
      </c>
      <c r="B405" s="390" t="s">
        <v>174</v>
      </c>
      <c r="C405" s="391">
        <f t="shared" ref="C405:G406" si="117">C406</f>
        <v>0</v>
      </c>
      <c r="D405" s="391">
        <f t="shared" si="117"/>
        <v>0</v>
      </c>
      <c r="E405" s="391">
        <f t="shared" si="117"/>
        <v>0</v>
      </c>
      <c r="F405" s="391">
        <f t="shared" si="117"/>
        <v>0</v>
      </c>
      <c r="G405" s="391">
        <f t="shared" si="117"/>
        <v>0</v>
      </c>
    </row>
    <row r="406" spans="1:7" s="381" customFormat="1" hidden="1" x14ac:dyDescent="0.25">
      <c r="A406" s="415">
        <v>42</v>
      </c>
      <c r="B406" s="416" t="s">
        <v>183</v>
      </c>
      <c r="C406" s="408">
        <f t="shared" si="117"/>
        <v>0</v>
      </c>
      <c r="D406" s="408">
        <f t="shared" si="117"/>
        <v>0</v>
      </c>
      <c r="E406" s="408">
        <f t="shared" si="117"/>
        <v>0</v>
      </c>
      <c r="F406" s="408">
        <f t="shared" si="117"/>
        <v>0</v>
      </c>
      <c r="G406" s="408">
        <f t="shared" si="117"/>
        <v>0</v>
      </c>
    </row>
    <row r="407" spans="1:7" s="381" customFormat="1" hidden="1" x14ac:dyDescent="0.25">
      <c r="A407" s="417">
        <v>422</v>
      </c>
      <c r="B407" s="418" t="s">
        <v>184</v>
      </c>
      <c r="C407" s="380">
        <f>SUM(C408:C410)</f>
        <v>0</v>
      </c>
      <c r="D407" s="380">
        <f>SUM(D408:D410)</f>
        <v>0</v>
      </c>
      <c r="E407" s="380">
        <f>SUM(E408:E410)</f>
        <v>0</v>
      </c>
      <c r="F407" s="380">
        <f t="shared" ref="F407:G407" si="118">SUM(F408:F410)</f>
        <v>0</v>
      </c>
      <c r="G407" s="380">
        <f t="shared" si="118"/>
        <v>0</v>
      </c>
    </row>
    <row r="408" spans="1:7" s="394" customFormat="1" hidden="1" x14ac:dyDescent="0.25">
      <c r="A408" s="419" t="s">
        <v>185</v>
      </c>
      <c r="B408" s="331" t="s">
        <v>186</v>
      </c>
      <c r="C408" s="403"/>
      <c r="D408" s="403"/>
      <c r="E408" s="403"/>
      <c r="F408" s="403"/>
      <c r="G408" s="403"/>
    </row>
    <row r="409" spans="1:7" hidden="1" x14ac:dyDescent="0.25">
      <c r="A409" s="419" t="s">
        <v>229</v>
      </c>
      <c r="B409" s="331" t="s">
        <v>190</v>
      </c>
      <c r="C409" s="403"/>
      <c r="D409" s="403"/>
      <c r="E409" s="403"/>
      <c r="F409" s="403"/>
      <c r="G409" s="403"/>
    </row>
    <row r="410" spans="1:7" hidden="1" x14ac:dyDescent="0.25">
      <c r="A410" s="419" t="s">
        <v>230</v>
      </c>
      <c r="B410" s="331" t="s">
        <v>191</v>
      </c>
      <c r="C410" s="403"/>
      <c r="D410" s="403"/>
      <c r="E410" s="403"/>
      <c r="F410" s="403"/>
      <c r="G410" s="403"/>
    </row>
    <row r="411" spans="1:7" s="381" customFormat="1" ht="31.5" x14ac:dyDescent="0.25">
      <c r="A411" s="439" t="s">
        <v>234</v>
      </c>
      <c r="B411" s="452" t="s">
        <v>235</v>
      </c>
      <c r="C411" s="387">
        <f>C412+C424</f>
        <v>0</v>
      </c>
      <c r="D411" s="387">
        <f>D412+D424</f>
        <v>0</v>
      </c>
      <c r="E411" s="387">
        <f>E412+E424</f>
        <v>11800</v>
      </c>
      <c r="F411" s="387">
        <f>F412+F424</f>
        <v>11750</v>
      </c>
      <c r="G411" s="387">
        <f>G412+G424</f>
        <v>12000</v>
      </c>
    </row>
    <row r="412" spans="1:7" s="381" customFormat="1" x14ac:dyDescent="0.25">
      <c r="A412" s="441" t="s">
        <v>86</v>
      </c>
      <c r="B412" s="390" t="s">
        <v>87</v>
      </c>
      <c r="C412" s="391">
        <f>C413</f>
        <v>0</v>
      </c>
      <c r="D412" s="391">
        <f>D413</f>
        <v>0</v>
      </c>
      <c r="E412" s="391">
        <f t="shared" ref="E412" si="119">E413</f>
        <v>11800</v>
      </c>
      <c r="F412" s="391">
        <f t="shared" ref="F412" si="120">F413</f>
        <v>11750</v>
      </c>
      <c r="G412" s="391">
        <f t="shared" ref="G412" si="121">G413</f>
        <v>12000</v>
      </c>
    </row>
    <row r="413" spans="1:7" s="381" customFormat="1" x14ac:dyDescent="0.25">
      <c r="A413" s="415">
        <v>32</v>
      </c>
      <c r="B413" s="416" t="s">
        <v>102</v>
      </c>
      <c r="C413" s="408">
        <f>C414+C417+C421</f>
        <v>0</v>
      </c>
      <c r="D413" s="408">
        <f>D414+D417+D421</f>
        <v>0</v>
      </c>
      <c r="E413" s="408">
        <f>E414+E417+E421</f>
        <v>11800</v>
      </c>
      <c r="F413" s="408">
        <f>F414+F417+F421</f>
        <v>11750</v>
      </c>
      <c r="G413" s="408">
        <f>G414+G417+G421</f>
        <v>12000</v>
      </c>
    </row>
    <row r="414" spans="1:7" s="381" customFormat="1" hidden="1" x14ac:dyDescent="0.25">
      <c r="A414" s="417" t="s">
        <v>112</v>
      </c>
      <c r="B414" s="433" t="s">
        <v>113</v>
      </c>
      <c r="C414" s="380">
        <f>C415+C416</f>
        <v>0</v>
      </c>
      <c r="D414" s="380">
        <f>D415+D416</f>
        <v>0</v>
      </c>
      <c r="E414" s="380">
        <f t="shared" ref="E414" si="122">E415+E416</f>
        <v>0</v>
      </c>
      <c r="F414" s="380">
        <f t="shared" ref="F414" si="123">F415+F416</f>
        <v>0</v>
      </c>
      <c r="G414" s="380">
        <f t="shared" ref="G414" si="124">G415+G416</f>
        <v>0</v>
      </c>
    </row>
    <row r="415" spans="1:7" hidden="1" x14ac:dyDescent="0.25">
      <c r="A415" s="417" t="s">
        <v>116</v>
      </c>
      <c r="B415" s="433" t="s">
        <v>113</v>
      </c>
      <c r="C415" s="380"/>
      <c r="D415" s="380"/>
      <c r="E415" s="380"/>
      <c r="F415" s="380"/>
      <c r="G415" s="380"/>
    </row>
    <row r="416" spans="1:7" hidden="1" x14ac:dyDescent="0.25">
      <c r="A416" s="417" t="s">
        <v>120</v>
      </c>
      <c r="B416" s="433" t="s">
        <v>330</v>
      </c>
      <c r="C416" s="380"/>
      <c r="D416" s="380"/>
      <c r="E416" s="380"/>
      <c r="F416" s="380"/>
      <c r="G416" s="380"/>
    </row>
    <row r="417" spans="1:7" s="381" customFormat="1" x14ac:dyDescent="0.25">
      <c r="A417" s="417" t="s">
        <v>126</v>
      </c>
      <c r="B417" s="418" t="s">
        <v>127</v>
      </c>
      <c r="C417" s="380">
        <f>C418+C419</f>
        <v>0</v>
      </c>
      <c r="D417" s="380">
        <f>D418+D419</f>
        <v>0</v>
      </c>
      <c r="E417" s="380">
        <f>E418+E419</f>
        <v>1300</v>
      </c>
      <c r="F417" s="380">
        <f t="shared" ref="F417:G417" si="125">F418+F419</f>
        <v>1500</v>
      </c>
      <c r="G417" s="380">
        <f t="shared" si="125"/>
        <v>1500</v>
      </c>
    </row>
    <row r="418" spans="1:7" hidden="1" x14ac:dyDescent="0.25">
      <c r="A418" s="417" t="s">
        <v>130</v>
      </c>
      <c r="B418" s="418" t="s">
        <v>131</v>
      </c>
      <c r="C418" s="380"/>
      <c r="D418" s="380"/>
      <c r="E418" s="380"/>
      <c r="F418" s="380"/>
      <c r="G418" s="380"/>
    </row>
    <row r="419" spans="1:7" x14ac:dyDescent="0.25">
      <c r="A419" s="417" t="s">
        <v>134</v>
      </c>
      <c r="B419" s="418" t="s">
        <v>135</v>
      </c>
      <c r="C419" s="380">
        <f>C420</f>
        <v>0</v>
      </c>
      <c r="D419" s="380">
        <f>D420</f>
        <v>0</v>
      </c>
      <c r="E419" s="380">
        <f>E420</f>
        <v>1300</v>
      </c>
      <c r="F419" s="380">
        <f>F420</f>
        <v>1500</v>
      </c>
      <c r="G419" s="380">
        <f>G420</f>
        <v>1500</v>
      </c>
    </row>
    <row r="420" spans="1:7" x14ac:dyDescent="0.25">
      <c r="A420" s="419" t="s">
        <v>607</v>
      </c>
      <c r="B420" s="331" t="s">
        <v>610</v>
      </c>
      <c r="C420" s="403"/>
      <c r="D420" s="403"/>
      <c r="E420" s="403">
        <v>1300</v>
      </c>
      <c r="F420" s="403">
        <v>1500</v>
      </c>
      <c r="G420" s="403">
        <v>1500</v>
      </c>
    </row>
    <row r="421" spans="1:7" s="381" customFormat="1" x14ac:dyDescent="0.25">
      <c r="A421" s="417" t="s">
        <v>219</v>
      </c>
      <c r="B421" s="418" t="s">
        <v>220</v>
      </c>
      <c r="C421" s="380">
        <f>C422</f>
        <v>0</v>
      </c>
      <c r="D421" s="380">
        <f>D422</f>
        <v>0</v>
      </c>
      <c r="E421" s="380">
        <f t="shared" ref="E421:E422" si="126">E422</f>
        <v>10500</v>
      </c>
      <c r="F421" s="380">
        <f t="shared" ref="F421:F422" si="127">F422</f>
        <v>10250</v>
      </c>
      <c r="G421" s="380">
        <f t="shared" ref="G421:G422" si="128">G422</f>
        <v>10500</v>
      </c>
    </row>
    <row r="422" spans="1:7" x14ac:dyDescent="0.25">
      <c r="A422" s="417" t="s">
        <v>231</v>
      </c>
      <c r="B422" s="418" t="s">
        <v>147</v>
      </c>
      <c r="C422" s="380">
        <f>C423</f>
        <v>0</v>
      </c>
      <c r="D422" s="380">
        <f>D423</f>
        <v>0</v>
      </c>
      <c r="E422" s="380">
        <f t="shared" si="126"/>
        <v>10500</v>
      </c>
      <c r="F422" s="380">
        <f t="shared" si="127"/>
        <v>10250</v>
      </c>
      <c r="G422" s="380">
        <f t="shared" si="128"/>
        <v>10500</v>
      </c>
    </row>
    <row r="423" spans="1:7" x14ac:dyDescent="0.25">
      <c r="A423" s="419" t="s">
        <v>520</v>
      </c>
      <c r="B423" s="331" t="s">
        <v>521</v>
      </c>
      <c r="C423" s="403"/>
      <c r="D423" s="403"/>
      <c r="E423" s="403">
        <f>5000+5500</f>
        <v>10500</v>
      </c>
      <c r="F423" s="403">
        <f>5750+4500</f>
        <v>10250</v>
      </c>
      <c r="G423" s="403">
        <f>6000+4500</f>
        <v>10500</v>
      </c>
    </row>
    <row r="424" spans="1:7" s="381" customFormat="1" hidden="1" x14ac:dyDescent="0.25">
      <c r="A424" s="518" t="s">
        <v>349</v>
      </c>
      <c r="B424" s="390" t="s">
        <v>174</v>
      </c>
      <c r="C424" s="391">
        <f>C425</f>
        <v>0</v>
      </c>
      <c r="D424" s="391">
        <f>D425</f>
        <v>0</v>
      </c>
      <c r="E424" s="391">
        <f>E425</f>
        <v>0</v>
      </c>
      <c r="F424" s="391">
        <f t="shared" ref="F424:G424" si="129">F425</f>
        <v>0</v>
      </c>
      <c r="G424" s="391">
        <f t="shared" si="129"/>
        <v>0</v>
      </c>
    </row>
    <row r="425" spans="1:7" s="378" customFormat="1" hidden="1" x14ac:dyDescent="0.25">
      <c r="A425" s="415">
        <v>42</v>
      </c>
      <c r="B425" s="416" t="s">
        <v>183</v>
      </c>
      <c r="C425" s="408">
        <f>C428+C426</f>
        <v>0</v>
      </c>
      <c r="D425" s="408">
        <f>D428+D426</f>
        <v>0</v>
      </c>
      <c r="E425" s="408">
        <f>E428+E426</f>
        <v>0</v>
      </c>
      <c r="F425" s="408">
        <f t="shared" ref="F425:G425" si="130">F428+F426</f>
        <v>0</v>
      </c>
      <c r="G425" s="408">
        <f t="shared" si="130"/>
        <v>0</v>
      </c>
    </row>
    <row r="426" spans="1:7" s="378" customFormat="1" hidden="1" x14ac:dyDescent="0.25">
      <c r="A426" s="417" t="s">
        <v>206</v>
      </c>
      <c r="B426" s="418" t="s">
        <v>207</v>
      </c>
      <c r="C426" s="380">
        <f>C427</f>
        <v>0</v>
      </c>
      <c r="D426" s="380">
        <f>D427</f>
        <v>0</v>
      </c>
      <c r="E426" s="380">
        <f>E427</f>
        <v>0</v>
      </c>
      <c r="F426" s="380">
        <f t="shared" ref="F426:G426" si="131">F427</f>
        <v>0</v>
      </c>
      <c r="G426" s="380">
        <f t="shared" si="131"/>
        <v>0</v>
      </c>
    </row>
    <row r="427" spans="1:7" s="394" customFormat="1" hidden="1" x14ac:dyDescent="0.25">
      <c r="A427" s="417" t="s">
        <v>208</v>
      </c>
      <c r="B427" s="418" t="s">
        <v>209</v>
      </c>
      <c r="C427" s="380"/>
      <c r="D427" s="380"/>
      <c r="E427" s="380"/>
      <c r="F427" s="380"/>
      <c r="G427" s="380"/>
    </row>
    <row r="428" spans="1:7" s="381" customFormat="1" hidden="1" x14ac:dyDescent="0.25">
      <c r="A428" s="417">
        <v>422</v>
      </c>
      <c r="B428" s="418" t="s">
        <v>184</v>
      </c>
      <c r="C428" s="380">
        <f>SUM(C429:C431)</f>
        <v>0</v>
      </c>
      <c r="D428" s="380">
        <f>SUM(D429:D431)</f>
        <v>0</v>
      </c>
      <c r="E428" s="380">
        <f>SUM(E429:E431)</f>
        <v>0</v>
      </c>
      <c r="F428" s="380">
        <f t="shared" ref="F428:G428" si="132">SUM(F429:F431)</f>
        <v>0</v>
      </c>
      <c r="G428" s="380">
        <f t="shared" si="132"/>
        <v>0</v>
      </c>
    </row>
    <row r="429" spans="1:7" hidden="1" x14ac:dyDescent="0.25">
      <c r="A429" s="417" t="s">
        <v>185</v>
      </c>
      <c r="B429" s="418" t="s">
        <v>186</v>
      </c>
      <c r="C429" s="380"/>
      <c r="D429" s="380"/>
      <c r="E429" s="380"/>
      <c r="F429" s="380"/>
      <c r="G429" s="380"/>
    </row>
    <row r="430" spans="1:7" hidden="1" x14ac:dyDescent="0.25">
      <c r="A430" s="417" t="s">
        <v>187</v>
      </c>
      <c r="B430" s="418" t="s">
        <v>188</v>
      </c>
      <c r="C430" s="380"/>
      <c r="D430" s="380"/>
      <c r="E430" s="380"/>
      <c r="F430" s="380"/>
      <c r="G430" s="380"/>
    </row>
    <row r="431" spans="1:7" hidden="1" x14ac:dyDescent="0.25">
      <c r="A431" s="417" t="s">
        <v>229</v>
      </c>
      <c r="B431" s="418" t="s">
        <v>190</v>
      </c>
      <c r="C431" s="380">
        <f>SUM(C432)</f>
        <v>0</v>
      </c>
      <c r="D431" s="380">
        <f>SUM(D432)</f>
        <v>0</v>
      </c>
      <c r="E431" s="380">
        <f>SUM(E432)</f>
        <v>0</v>
      </c>
      <c r="F431" s="380">
        <f t="shared" ref="F431:G431" si="133">SUM(F432)</f>
        <v>0</v>
      </c>
      <c r="G431" s="380">
        <f t="shared" si="133"/>
        <v>0</v>
      </c>
    </row>
    <row r="432" spans="1:7" hidden="1" x14ac:dyDescent="0.25">
      <c r="A432" s="419" t="s">
        <v>522</v>
      </c>
      <c r="B432" s="331" t="s">
        <v>469</v>
      </c>
      <c r="C432" s="403"/>
      <c r="D432" s="403"/>
      <c r="E432" s="403"/>
      <c r="F432" s="403"/>
      <c r="G432" s="403"/>
    </row>
    <row r="433" spans="1:7" x14ac:dyDescent="0.25">
      <c r="A433" s="439" t="s">
        <v>359</v>
      </c>
      <c r="B433" s="440" t="s">
        <v>360</v>
      </c>
      <c r="C433" s="387">
        <f>C434+C459</f>
        <v>0</v>
      </c>
      <c r="D433" s="387">
        <f>D434+D459</f>
        <v>0</v>
      </c>
      <c r="E433" s="387">
        <f>E434</f>
        <v>150000</v>
      </c>
      <c r="F433" s="387">
        <f t="shared" ref="F433:G437" si="134">F434</f>
        <v>150000</v>
      </c>
      <c r="G433" s="387">
        <f t="shared" si="134"/>
        <v>150000</v>
      </c>
    </row>
    <row r="434" spans="1:7" x14ac:dyDescent="0.25">
      <c r="A434" s="518" t="s">
        <v>86</v>
      </c>
      <c r="B434" s="519" t="s">
        <v>87</v>
      </c>
      <c r="C434" s="391">
        <f>C435+C441</f>
        <v>0</v>
      </c>
      <c r="D434" s="391">
        <f>D435+D441</f>
        <v>0</v>
      </c>
      <c r="E434" s="391">
        <f>E435</f>
        <v>150000</v>
      </c>
      <c r="F434" s="391">
        <f t="shared" si="134"/>
        <v>150000</v>
      </c>
      <c r="G434" s="391">
        <f t="shared" si="134"/>
        <v>150000</v>
      </c>
    </row>
    <row r="435" spans="1:7" x14ac:dyDescent="0.25">
      <c r="A435" s="430">
        <v>32</v>
      </c>
      <c r="B435" s="517" t="s">
        <v>673</v>
      </c>
      <c r="C435" s="432"/>
      <c r="D435" s="432"/>
      <c r="E435" s="432">
        <f>E436</f>
        <v>150000</v>
      </c>
      <c r="F435" s="432">
        <f t="shared" si="134"/>
        <v>150000</v>
      </c>
      <c r="G435" s="432">
        <f t="shared" si="134"/>
        <v>150000</v>
      </c>
    </row>
    <row r="436" spans="1:7" x14ac:dyDescent="0.25">
      <c r="A436" s="340">
        <v>322</v>
      </c>
      <c r="B436" s="426" t="s">
        <v>113</v>
      </c>
      <c r="C436" s="421"/>
      <c r="D436" s="421"/>
      <c r="E436" s="421">
        <f>E437</f>
        <v>150000</v>
      </c>
      <c r="F436" s="421">
        <f t="shared" si="134"/>
        <v>150000</v>
      </c>
      <c r="G436" s="421">
        <f t="shared" si="134"/>
        <v>150000</v>
      </c>
    </row>
    <row r="437" spans="1:7" x14ac:dyDescent="0.25">
      <c r="A437" s="340">
        <v>3222</v>
      </c>
      <c r="B437" s="426" t="s">
        <v>117</v>
      </c>
      <c r="C437" s="421"/>
      <c r="D437" s="421"/>
      <c r="E437" s="421">
        <f>E438</f>
        <v>150000</v>
      </c>
      <c r="F437" s="421">
        <f t="shared" si="134"/>
        <v>150000</v>
      </c>
      <c r="G437" s="421">
        <f t="shared" si="134"/>
        <v>150000</v>
      </c>
    </row>
    <row r="438" spans="1:7" x14ac:dyDescent="0.25">
      <c r="A438" s="337">
        <v>32225</v>
      </c>
      <c r="B438" s="427" t="s">
        <v>599</v>
      </c>
      <c r="C438" s="420"/>
      <c r="D438" s="420"/>
      <c r="E438" s="420">
        <v>150000</v>
      </c>
      <c r="F438" s="420">
        <v>150000</v>
      </c>
      <c r="G438" s="420">
        <v>150000</v>
      </c>
    </row>
    <row r="439" spans="1:7" s="394" customFormat="1" x14ac:dyDescent="0.25">
      <c r="A439" s="454" t="s">
        <v>322</v>
      </c>
      <c r="B439" s="455" t="s">
        <v>679</v>
      </c>
      <c r="C439" s="384">
        <f t="shared" ref="C439:D439" si="135">C440</f>
        <v>0</v>
      </c>
      <c r="D439" s="384">
        <f t="shared" si="135"/>
        <v>0</v>
      </c>
      <c r="E439" s="384">
        <f>E440</f>
        <v>1071228</v>
      </c>
      <c r="F439" s="384">
        <f t="shared" ref="F439:G439" si="136">F440</f>
        <v>1071228</v>
      </c>
      <c r="G439" s="384">
        <f t="shared" si="136"/>
        <v>1071228</v>
      </c>
    </row>
    <row r="440" spans="1:7" s="394" customFormat="1" x14ac:dyDescent="0.25">
      <c r="A440" s="439" t="s">
        <v>359</v>
      </c>
      <c r="B440" s="440" t="s">
        <v>360</v>
      </c>
      <c r="C440" s="387">
        <f>C441+C469</f>
        <v>0</v>
      </c>
      <c r="D440" s="387">
        <f>D441+D469</f>
        <v>0</v>
      </c>
      <c r="E440" s="387">
        <f>E441+E469</f>
        <v>1071228</v>
      </c>
      <c r="F440" s="387">
        <f t="shared" ref="F440:G440" si="137">F441+F469</f>
        <v>1071228</v>
      </c>
      <c r="G440" s="387">
        <f t="shared" si="137"/>
        <v>1071228</v>
      </c>
    </row>
    <row r="441" spans="1:7" s="394" customFormat="1" x14ac:dyDescent="0.25">
      <c r="A441" s="518" t="s">
        <v>86</v>
      </c>
      <c r="B441" s="519" t="s">
        <v>87</v>
      </c>
      <c r="C441" s="391">
        <f t="shared" ref="C441:D441" si="138">C442+C451</f>
        <v>0</v>
      </c>
      <c r="D441" s="391">
        <f t="shared" si="138"/>
        <v>0</v>
      </c>
      <c r="E441" s="391">
        <f>E442+E451</f>
        <v>301725.00999999995</v>
      </c>
      <c r="F441" s="391">
        <f t="shared" ref="F441:G441" si="139">F442+F451</f>
        <v>301725.00999999995</v>
      </c>
      <c r="G441" s="391">
        <f t="shared" si="139"/>
        <v>301725.00999999995</v>
      </c>
    </row>
    <row r="442" spans="1:7" s="394" customFormat="1" hidden="1" x14ac:dyDescent="0.25">
      <c r="A442" s="415">
        <v>31</v>
      </c>
      <c r="B442" s="416" t="s">
        <v>88</v>
      </c>
      <c r="C442" s="408">
        <f t="shared" ref="C442:D442" si="140">C443+C446+C448</f>
        <v>0</v>
      </c>
      <c r="D442" s="408">
        <f t="shared" si="140"/>
        <v>0</v>
      </c>
      <c r="E442" s="408">
        <f>E443+E446+E448</f>
        <v>0</v>
      </c>
      <c r="F442" s="408">
        <f t="shared" ref="F442:G442" si="141">F443+F446+F448</f>
        <v>0</v>
      </c>
      <c r="G442" s="408">
        <f t="shared" si="141"/>
        <v>0</v>
      </c>
    </row>
    <row r="443" spans="1:7" s="394" customFormat="1" hidden="1" x14ac:dyDescent="0.25">
      <c r="A443" s="417">
        <v>311</v>
      </c>
      <c r="B443" s="418" t="s">
        <v>89</v>
      </c>
      <c r="C443" s="380">
        <f t="shared" ref="C443:D443" si="142">C444+C445</f>
        <v>0</v>
      </c>
      <c r="D443" s="380">
        <f t="shared" si="142"/>
        <v>0</v>
      </c>
      <c r="E443" s="380">
        <f>E444+E445</f>
        <v>0</v>
      </c>
      <c r="F443" s="380">
        <f t="shared" ref="F443:G443" si="143">F444+F445</f>
        <v>0</v>
      </c>
      <c r="G443" s="380">
        <f t="shared" si="143"/>
        <v>0</v>
      </c>
    </row>
    <row r="444" spans="1:7" s="394" customFormat="1" hidden="1" x14ac:dyDescent="0.25">
      <c r="A444" s="419">
        <v>3111</v>
      </c>
      <c r="B444" s="331" t="s">
        <v>90</v>
      </c>
      <c r="C444" s="403"/>
      <c r="D444" s="403"/>
      <c r="E444" s="403"/>
      <c r="F444" s="403"/>
      <c r="G444" s="403"/>
    </row>
    <row r="445" spans="1:7" s="394" customFormat="1" hidden="1" x14ac:dyDescent="0.25">
      <c r="A445" s="419" t="s">
        <v>95</v>
      </c>
      <c r="B445" s="331" t="s">
        <v>211</v>
      </c>
      <c r="C445" s="403"/>
      <c r="D445" s="403"/>
      <c r="E445" s="403"/>
      <c r="F445" s="403"/>
      <c r="G445" s="403"/>
    </row>
    <row r="446" spans="1:7" s="378" customFormat="1" hidden="1" x14ac:dyDescent="0.25">
      <c r="A446" s="417" t="s">
        <v>97</v>
      </c>
      <c r="B446" s="418" t="s">
        <v>98</v>
      </c>
      <c r="C446" s="380">
        <f t="shared" ref="C446:D446" si="144">C447</f>
        <v>0</v>
      </c>
      <c r="D446" s="380">
        <f t="shared" si="144"/>
        <v>0</v>
      </c>
      <c r="E446" s="380">
        <f>E447</f>
        <v>0</v>
      </c>
      <c r="F446" s="380">
        <f t="shared" ref="F446:G446" si="145">F447</f>
        <v>0</v>
      </c>
      <c r="G446" s="380">
        <f t="shared" si="145"/>
        <v>0</v>
      </c>
    </row>
    <row r="447" spans="1:7" s="394" customFormat="1" hidden="1" x14ac:dyDescent="0.25">
      <c r="A447" s="419" t="s">
        <v>99</v>
      </c>
      <c r="B447" s="331" t="s">
        <v>98</v>
      </c>
      <c r="C447" s="403"/>
      <c r="D447" s="403"/>
      <c r="E447" s="403"/>
      <c r="F447" s="403"/>
      <c r="G447" s="403"/>
    </row>
    <row r="448" spans="1:7" s="378" customFormat="1" hidden="1" x14ac:dyDescent="0.25">
      <c r="A448" s="422">
        <v>313</v>
      </c>
      <c r="B448" s="418" t="s">
        <v>100</v>
      </c>
      <c r="C448" s="380">
        <f t="shared" ref="C448:D448" si="146">C449+C450</f>
        <v>0</v>
      </c>
      <c r="D448" s="380">
        <f t="shared" si="146"/>
        <v>0</v>
      </c>
      <c r="E448" s="380">
        <f>E449+E450</f>
        <v>0</v>
      </c>
      <c r="F448" s="380">
        <f t="shared" ref="F448:G448" si="147">F449+F450</f>
        <v>0</v>
      </c>
      <c r="G448" s="380">
        <f t="shared" si="147"/>
        <v>0</v>
      </c>
    </row>
    <row r="449" spans="1:7" s="394" customFormat="1" hidden="1" x14ac:dyDescent="0.25">
      <c r="A449" s="423" t="s">
        <v>225</v>
      </c>
      <c r="B449" s="331" t="s">
        <v>226</v>
      </c>
      <c r="C449" s="403"/>
      <c r="D449" s="403"/>
      <c r="E449" s="403"/>
      <c r="F449" s="403"/>
      <c r="G449" s="403"/>
    </row>
    <row r="450" spans="1:7" s="394" customFormat="1" hidden="1" x14ac:dyDescent="0.25">
      <c r="A450" s="423">
        <v>3132</v>
      </c>
      <c r="B450" s="331" t="s">
        <v>101</v>
      </c>
      <c r="C450" s="403"/>
      <c r="D450" s="403"/>
      <c r="E450" s="403"/>
      <c r="F450" s="403"/>
      <c r="G450" s="403"/>
    </row>
    <row r="451" spans="1:7" s="394" customFormat="1" x14ac:dyDescent="0.25">
      <c r="A451" s="415">
        <v>32</v>
      </c>
      <c r="B451" s="416" t="s">
        <v>102</v>
      </c>
      <c r="C451" s="408">
        <f>C452+C456+C460</f>
        <v>0</v>
      </c>
      <c r="D451" s="408">
        <f t="shared" ref="D451" si="148">D452+D456+D458+D460</f>
        <v>0</v>
      </c>
      <c r="E451" s="408">
        <f>E452+E456+E460</f>
        <v>301725.00999999995</v>
      </c>
      <c r="F451" s="408">
        <f t="shared" ref="F451:G451" si="149">F452+F456+F460</f>
        <v>301725.00999999995</v>
      </c>
      <c r="G451" s="408">
        <f t="shared" si="149"/>
        <v>301725.00999999995</v>
      </c>
    </row>
    <row r="452" spans="1:7" s="394" customFormat="1" hidden="1" x14ac:dyDescent="0.25">
      <c r="A452" s="417">
        <v>321</v>
      </c>
      <c r="B452" s="418" t="s">
        <v>103</v>
      </c>
      <c r="C452" s="380">
        <f t="shared" ref="C452:D452" si="150">SUM(C453:C455)</f>
        <v>0</v>
      </c>
      <c r="D452" s="380">
        <f t="shared" si="150"/>
        <v>0</v>
      </c>
      <c r="E452" s="380">
        <f>SUM(E453:E455)</f>
        <v>0</v>
      </c>
      <c r="F452" s="380">
        <f t="shared" ref="F452:G452" si="151">SUM(F453:F455)</f>
        <v>0</v>
      </c>
      <c r="G452" s="380">
        <f t="shared" si="151"/>
        <v>0</v>
      </c>
    </row>
    <row r="453" spans="1:7" s="394" customFormat="1" hidden="1" x14ac:dyDescent="0.25">
      <c r="A453" s="419" t="s">
        <v>104</v>
      </c>
      <c r="B453" s="331" t="s">
        <v>105</v>
      </c>
      <c r="C453" s="403"/>
      <c r="D453" s="403"/>
      <c r="E453" s="403"/>
      <c r="F453" s="403"/>
      <c r="G453" s="403"/>
    </row>
    <row r="454" spans="1:7" s="394" customFormat="1" hidden="1" x14ac:dyDescent="0.25">
      <c r="A454" s="419" t="s">
        <v>106</v>
      </c>
      <c r="B454" s="332" t="s">
        <v>107</v>
      </c>
      <c r="C454" s="403"/>
      <c r="D454" s="403"/>
      <c r="E454" s="403"/>
      <c r="F454" s="403"/>
      <c r="G454" s="403"/>
    </row>
    <row r="455" spans="1:7" hidden="1" x14ac:dyDescent="0.25">
      <c r="A455" s="419" t="s">
        <v>108</v>
      </c>
      <c r="B455" s="332" t="s">
        <v>109</v>
      </c>
      <c r="C455" s="403"/>
      <c r="D455" s="403"/>
      <c r="E455" s="403"/>
      <c r="F455" s="403"/>
      <c r="G455" s="403"/>
    </row>
    <row r="456" spans="1:7" s="381" customFormat="1" x14ac:dyDescent="0.25">
      <c r="A456" s="417" t="s">
        <v>112</v>
      </c>
      <c r="B456" s="333" t="s">
        <v>113</v>
      </c>
      <c r="C456" s="380">
        <f>C458</f>
        <v>0</v>
      </c>
      <c r="D456" s="380">
        <f t="shared" ref="D456" si="152">D457</f>
        <v>0</v>
      </c>
      <c r="E456" s="380">
        <f>E458</f>
        <v>4692.1000000000004</v>
      </c>
      <c r="F456" s="380">
        <f t="shared" ref="F456:G456" si="153">F458</f>
        <v>4692.1000000000004</v>
      </c>
      <c r="G456" s="380">
        <f t="shared" si="153"/>
        <v>4692.1000000000004</v>
      </c>
    </row>
    <row r="457" spans="1:7" hidden="1" x14ac:dyDescent="0.25">
      <c r="A457" s="419" t="s">
        <v>118</v>
      </c>
      <c r="B457" s="332" t="s">
        <v>119</v>
      </c>
      <c r="C457" s="403"/>
      <c r="D457" s="403"/>
      <c r="E457" s="403"/>
      <c r="F457" s="403"/>
      <c r="G457" s="403"/>
    </row>
    <row r="458" spans="1:7" s="381" customFormat="1" x14ac:dyDescent="0.25">
      <c r="A458" s="417" t="s">
        <v>120</v>
      </c>
      <c r="B458" s="333" t="s">
        <v>121</v>
      </c>
      <c r="C458" s="380">
        <f>C459</f>
        <v>0</v>
      </c>
      <c r="D458" s="380">
        <f t="shared" ref="D458:G458" si="154">D459</f>
        <v>0</v>
      </c>
      <c r="E458" s="380">
        <f t="shared" si="154"/>
        <v>4692.1000000000004</v>
      </c>
      <c r="F458" s="380">
        <f t="shared" si="154"/>
        <v>4692.1000000000004</v>
      </c>
      <c r="G458" s="380">
        <f t="shared" si="154"/>
        <v>4692.1000000000004</v>
      </c>
    </row>
    <row r="459" spans="1:7" x14ac:dyDescent="0.25">
      <c r="A459" s="419">
        <v>32241</v>
      </c>
      <c r="B459" s="331" t="s">
        <v>426</v>
      </c>
      <c r="C459" s="403"/>
      <c r="D459" s="403">
        <v>0</v>
      </c>
      <c r="E459" s="403">
        <v>4692.1000000000004</v>
      </c>
      <c r="F459" s="403">
        <v>4692.1000000000004</v>
      </c>
      <c r="G459" s="403">
        <v>4692.1000000000004</v>
      </c>
    </row>
    <row r="460" spans="1:7" s="381" customFormat="1" x14ac:dyDescent="0.25">
      <c r="A460" s="417" t="s">
        <v>126</v>
      </c>
      <c r="B460" s="333" t="s">
        <v>127</v>
      </c>
      <c r="C460" s="380">
        <f t="shared" ref="C460:D460" si="155">C461+C465+C466+C467</f>
        <v>0</v>
      </c>
      <c r="D460" s="380">
        <f t="shared" si="155"/>
        <v>0</v>
      </c>
      <c r="E460" s="380">
        <f>E461+E465+E466+E467</f>
        <v>297032.90999999997</v>
      </c>
      <c r="F460" s="380">
        <f t="shared" ref="F460:G460" si="156">F461+F465+F466+F467</f>
        <v>297032.90999999997</v>
      </c>
      <c r="G460" s="380">
        <f t="shared" si="156"/>
        <v>297032.90999999997</v>
      </c>
    </row>
    <row r="461" spans="1:7" s="381" customFormat="1" x14ac:dyDescent="0.25">
      <c r="A461" s="417" t="s">
        <v>130</v>
      </c>
      <c r="B461" s="333" t="s">
        <v>131</v>
      </c>
      <c r="C461" s="380">
        <f t="shared" ref="C461:D461" si="157">SUM(C462:C464)</f>
        <v>0</v>
      </c>
      <c r="D461" s="380">
        <f t="shared" si="157"/>
        <v>0</v>
      </c>
      <c r="E461" s="380">
        <f>SUM(E462:E464)</f>
        <v>224043.74</v>
      </c>
      <c r="F461" s="380">
        <f t="shared" ref="F461:G461" si="158">SUM(F462:F464)</f>
        <v>224043.74</v>
      </c>
      <c r="G461" s="380">
        <f t="shared" si="158"/>
        <v>224043.74</v>
      </c>
    </row>
    <row r="462" spans="1:7" s="381" customFormat="1" x14ac:dyDescent="0.25">
      <c r="A462" s="419">
        <v>32321</v>
      </c>
      <c r="B462" s="332" t="s">
        <v>433</v>
      </c>
      <c r="C462" s="403"/>
      <c r="D462" s="403"/>
      <c r="E462" s="403">
        <f>165663.57+58380.17</f>
        <v>224043.74</v>
      </c>
      <c r="F462" s="403">
        <f t="shared" ref="F462:G462" si="159">165663.57+58380.17</f>
        <v>224043.74</v>
      </c>
      <c r="G462" s="403">
        <f t="shared" si="159"/>
        <v>224043.74</v>
      </c>
    </row>
    <row r="463" spans="1:7" s="381" customFormat="1" x14ac:dyDescent="0.25">
      <c r="A463" s="419">
        <v>32322</v>
      </c>
      <c r="B463" s="332" t="s">
        <v>434</v>
      </c>
      <c r="C463" s="403"/>
      <c r="D463" s="403"/>
      <c r="E463" s="403">
        <v>0</v>
      </c>
      <c r="F463" s="403">
        <v>0</v>
      </c>
      <c r="G463" s="403">
        <v>0</v>
      </c>
    </row>
    <row r="464" spans="1:7" x14ac:dyDescent="0.25">
      <c r="A464" s="419">
        <v>32323</v>
      </c>
      <c r="B464" s="332" t="s">
        <v>432</v>
      </c>
      <c r="C464" s="403"/>
      <c r="D464" s="403"/>
      <c r="E464" s="403">
        <v>0</v>
      </c>
      <c r="F464" s="404">
        <v>0</v>
      </c>
      <c r="G464" s="403">
        <v>0</v>
      </c>
    </row>
    <row r="465" spans="1:7" hidden="1" x14ac:dyDescent="0.25">
      <c r="A465" s="417" t="s">
        <v>132</v>
      </c>
      <c r="B465" s="333" t="s">
        <v>133</v>
      </c>
      <c r="C465" s="380"/>
      <c r="D465" s="380"/>
      <c r="E465" s="380"/>
      <c r="F465" s="380"/>
      <c r="G465" s="380"/>
    </row>
    <row r="466" spans="1:7" hidden="1" x14ac:dyDescent="0.25">
      <c r="A466" s="417" t="s">
        <v>218</v>
      </c>
      <c r="B466" s="333" t="s">
        <v>138</v>
      </c>
      <c r="C466" s="380"/>
      <c r="D466" s="380"/>
      <c r="E466" s="380"/>
      <c r="F466" s="380"/>
      <c r="G466" s="380"/>
    </row>
    <row r="467" spans="1:7" x14ac:dyDescent="0.25">
      <c r="A467" s="417" t="s">
        <v>139</v>
      </c>
      <c r="B467" s="333" t="s">
        <v>140</v>
      </c>
      <c r="C467" s="380">
        <f t="shared" ref="C467:D467" si="160">SUM(C468)</f>
        <v>0</v>
      </c>
      <c r="D467" s="380">
        <f t="shared" si="160"/>
        <v>0</v>
      </c>
      <c r="E467" s="380">
        <f>SUM(E468)</f>
        <v>72989.17</v>
      </c>
      <c r="F467" s="380">
        <f t="shared" ref="F467:G467" si="161">SUM(F468)</f>
        <v>72989.17</v>
      </c>
      <c r="G467" s="380">
        <f t="shared" si="161"/>
        <v>72989.17</v>
      </c>
    </row>
    <row r="468" spans="1:7" x14ac:dyDescent="0.25">
      <c r="A468" s="419" t="s">
        <v>637</v>
      </c>
      <c r="B468" s="332" t="s">
        <v>674</v>
      </c>
      <c r="C468" s="403"/>
      <c r="D468" s="403"/>
      <c r="E468" s="403">
        <v>72989.17</v>
      </c>
      <c r="F468" s="403">
        <v>72989.17</v>
      </c>
      <c r="G468" s="403">
        <v>72989.17</v>
      </c>
    </row>
    <row r="469" spans="1:7" x14ac:dyDescent="0.25">
      <c r="A469" s="389">
        <v>4</v>
      </c>
      <c r="B469" s="390" t="s">
        <v>174</v>
      </c>
      <c r="C469" s="391">
        <f t="shared" ref="C469:D469" si="162">SUM(C474,C498)</f>
        <v>0</v>
      </c>
      <c r="D469" s="391">
        <f t="shared" si="162"/>
        <v>0</v>
      </c>
      <c r="E469" s="391">
        <f>SUM(E470,E474,E498)</f>
        <v>769502.99</v>
      </c>
      <c r="F469" s="391">
        <f t="shared" ref="F469:G469" si="163">SUM(F470,F474,F498)</f>
        <v>769502.99</v>
      </c>
      <c r="G469" s="391">
        <f t="shared" si="163"/>
        <v>769502.99</v>
      </c>
    </row>
    <row r="470" spans="1:7" x14ac:dyDescent="0.25">
      <c r="A470" s="340">
        <v>41</v>
      </c>
      <c r="B470" s="433" t="s">
        <v>176</v>
      </c>
      <c r="C470" s="380"/>
      <c r="D470" s="380"/>
      <c r="E470" s="380">
        <f>E471</f>
        <v>1300</v>
      </c>
      <c r="F470" s="380">
        <f t="shared" ref="F470:G472" si="164">F471</f>
        <v>1300</v>
      </c>
      <c r="G470" s="380">
        <f t="shared" si="164"/>
        <v>1300</v>
      </c>
    </row>
    <row r="471" spans="1:7" x14ac:dyDescent="0.25">
      <c r="A471" s="340">
        <v>412</v>
      </c>
      <c r="B471" s="433" t="s">
        <v>678</v>
      </c>
      <c r="C471" s="380"/>
      <c r="D471" s="380"/>
      <c r="E471" s="380">
        <f>E472</f>
        <v>1300</v>
      </c>
      <c r="F471" s="380">
        <f t="shared" si="164"/>
        <v>1300</v>
      </c>
      <c r="G471" s="380">
        <f t="shared" si="164"/>
        <v>1300</v>
      </c>
    </row>
    <row r="472" spans="1:7" x14ac:dyDescent="0.25">
      <c r="A472" s="340">
        <v>4123</v>
      </c>
      <c r="B472" s="433" t="s">
        <v>182</v>
      </c>
      <c r="C472" s="380"/>
      <c r="D472" s="380"/>
      <c r="E472" s="380">
        <f>E473</f>
        <v>1300</v>
      </c>
      <c r="F472" s="380">
        <f t="shared" si="164"/>
        <v>1300</v>
      </c>
      <c r="G472" s="380">
        <f t="shared" si="164"/>
        <v>1300</v>
      </c>
    </row>
    <row r="473" spans="1:7" x14ac:dyDescent="0.25">
      <c r="A473" s="337">
        <v>41231</v>
      </c>
      <c r="B473" s="442" t="s">
        <v>182</v>
      </c>
      <c r="C473" s="403"/>
      <c r="D473" s="403"/>
      <c r="E473" s="403">
        <v>1300</v>
      </c>
      <c r="F473" s="403">
        <v>1300</v>
      </c>
      <c r="G473" s="403">
        <v>1300</v>
      </c>
    </row>
    <row r="474" spans="1:7" x14ac:dyDescent="0.25">
      <c r="A474" s="430">
        <v>42</v>
      </c>
      <c r="B474" s="457" t="s">
        <v>361</v>
      </c>
      <c r="C474" s="408">
        <f t="shared" ref="C474:D474" si="165">C478</f>
        <v>0</v>
      </c>
      <c r="D474" s="408">
        <f t="shared" si="165"/>
        <v>0</v>
      </c>
      <c r="E474" s="408">
        <f>E475+E478+E492+E495</f>
        <v>592202.99</v>
      </c>
      <c r="F474" s="408">
        <f t="shared" ref="F474:G474" si="166">F475+F478+F492+F495</f>
        <v>592202.99</v>
      </c>
      <c r="G474" s="408">
        <f t="shared" si="166"/>
        <v>592202.99</v>
      </c>
    </row>
    <row r="475" spans="1:7" x14ac:dyDescent="0.25">
      <c r="A475" s="340">
        <v>421</v>
      </c>
      <c r="B475" s="433" t="s">
        <v>207</v>
      </c>
      <c r="C475" s="380"/>
      <c r="D475" s="380"/>
      <c r="E475" s="380">
        <f>E476</f>
        <v>3062.5</v>
      </c>
      <c r="F475" s="380">
        <f t="shared" ref="F475:G476" si="167">F476</f>
        <v>3062.5</v>
      </c>
      <c r="G475" s="380">
        <f t="shared" si="167"/>
        <v>3062.5</v>
      </c>
    </row>
    <row r="476" spans="1:7" x14ac:dyDescent="0.25">
      <c r="A476" s="340">
        <v>4212</v>
      </c>
      <c r="B476" s="433" t="s">
        <v>209</v>
      </c>
      <c r="C476" s="380"/>
      <c r="D476" s="380"/>
      <c r="E476" s="380">
        <f>E477</f>
        <v>3062.5</v>
      </c>
      <c r="F476" s="380">
        <f t="shared" si="167"/>
        <v>3062.5</v>
      </c>
      <c r="G476" s="380">
        <f t="shared" si="167"/>
        <v>3062.5</v>
      </c>
    </row>
    <row r="477" spans="1:7" ht="31.5" x14ac:dyDescent="0.25">
      <c r="A477" s="337">
        <v>42122</v>
      </c>
      <c r="B477" s="436" t="s">
        <v>675</v>
      </c>
      <c r="C477" s="403"/>
      <c r="D477" s="403"/>
      <c r="E477" s="403">
        <v>3062.5</v>
      </c>
      <c r="F477" s="403">
        <v>3062.5</v>
      </c>
      <c r="G477" s="403">
        <v>3062.5</v>
      </c>
    </row>
    <row r="478" spans="1:7" x14ac:dyDescent="0.25">
      <c r="A478" s="340">
        <v>422</v>
      </c>
      <c r="B478" s="433" t="s">
        <v>184</v>
      </c>
      <c r="C478" s="380">
        <f t="shared" ref="C478:D478" si="168">C479+C484+C486+C488</f>
        <v>0</v>
      </c>
      <c r="D478" s="380">
        <f t="shared" si="168"/>
        <v>0</v>
      </c>
      <c r="E478" s="380">
        <f>E479+E482+E484+E486+E488+E490</f>
        <v>479140.49</v>
      </c>
      <c r="F478" s="380">
        <f t="shared" ref="F478:G478" si="169">F479+F482+F484+F486+F488+F490</f>
        <v>479140.49</v>
      </c>
      <c r="G478" s="380">
        <f t="shared" si="169"/>
        <v>479140.49</v>
      </c>
    </row>
    <row r="479" spans="1:7" x14ac:dyDescent="0.25">
      <c r="A479" s="340">
        <v>4221</v>
      </c>
      <c r="B479" s="433" t="s">
        <v>186</v>
      </c>
      <c r="C479" s="380">
        <f t="shared" ref="C479:D479" si="170">SUM(C480:C481)</f>
        <v>0</v>
      </c>
      <c r="D479" s="380">
        <f t="shared" si="170"/>
        <v>0</v>
      </c>
      <c r="E479" s="380">
        <f>SUM(E480:E481)</f>
        <v>74651.66</v>
      </c>
      <c r="F479" s="380">
        <f t="shared" ref="F479:G479" si="171">SUM(F480:F481)</f>
        <v>74651.66</v>
      </c>
      <c r="G479" s="380">
        <f t="shared" si="171"/>
        <v>74651.66</v>
      </c>
    </row>
    <row r="480" spans="1:7" x14ac:dyDescent="0.25">
      <c r="A480" s="337">
        <v>42211</v>
      </c>
      <c r="B480" s="442" t="s">
        <v>464</v>
      </c>
      <c r="C480" s="403"/>
      <c r="D480" s="403"/>
      <c r="E480" s="403">
        <v>43776.66</v>
      </c>
      <c r="F480" s="403">
        <v>43776.66</v>
      </c>
      <c r="G480" s="403">
        <v>43776.66</v>
      </c>
    </row>
    <row r="481" spans="1:7" x14ac:dyDescent="0.25">
      <c r="A481" s="337">
        <v>42212</v>
      </c>
      <c r="B481" s="442" t="s">
        <v>465</v>
      </c>
      <c r="C481" s="403"/>
      <c r="D481" s="403"/>
      <c r="E481" s="403">
        <v>30875</v>
      </c>
      <c r="F481" s="403">
        <v>30875</v>
      </c>
      <c r="G481" s="403">
        <v>30875</v>
      </c>
    </row>
    <row r="482" spans="1:7" s="381" customFormat="1" x14ac:dyDescent="0.25">
      <c r="A482" s="340">
        <v>4222</v>
      </c>
      <c r="B482" s="433" t="s">
        <v>188</v>
      </c>
      <c r="C482" s="380"/>
      <c r="D482" s="380"/>
      <c r="E482" s="380">
        <f>E483</f>
        <v>61.19</v>
      </c>
      <c r="F482" s="380">
        <f t="shared" ref="F482:G482" si="172">F483</f>
        <v>61.19</v>
      </c>
      <c r="G482" s="380">
        <f t="shared" si="172"/>
        <v>61.19</v>
      </c>
    </row>
    <row r="483" spans="1:7" x14ac:dyDescent="0.25">
      <c r="A483" s="337">
        <v>42222</v>
      </c>
      <c r="B483" s="442" t="s">
        <v>646</v>
      </c>
      <c r="C483" s="403"/>
      <c r="D483" s="403"/>
      <c r="E483" s="403">
        <v>61.19</v>
      </c>
      <c r="F483" s="403">
        <v>61.19</v>
      </c>
      <c r="G483" s="403">
        <v>61.19</v>
      </c>
    </row>
    <row r="484" spans="1:7" x14ac:dyDescent="0.25">
      <c r="A484" s="340">
        <v>4223</v>
      </c>
      <c r="B484" s="433" t="s">
        <v>311</v>
      </c>
      <c r="C484" s="380">
        <f t="shared" ref="C484:D484" si="173">C485</f>
        <v>0</v>
      </c>
      <c r="D484" s="380">
        <f t="shared" si="173"/>
        <v>0</v>
      </c>
      <c r="E484" s="380">
        <f>E485</f>
        <v>9191.75</v>
      </c>
      <c r="F484" s="380">
        <f t="shared" ref="F484:G484" si="174">F485</f>
        <v>9191.75</v>
      </c>
      <c r="G484" s="380">
        <f t="shared" si="174"/>
        <v>9191.75</v>
      </c>
    </row>
    <row r="485" spans="1:7" x14ac:dyDescent="0.25">
      <c r="A485" s="337">
        <v>42232</v>
      </c>
      <c r="B485" s="442" t="s">
        <v>467</v>
      </c>
      <c r="C485" s="403"/>
      <c r="D485" s="403"/>
      <c r="E485" s="403">
        <v>9191.75</v>
      </c>
      <c r="F485" s="403">
        <v>9191.75</v>
      </c>
      <c r="G485" s="403">
        <v>9191.75</v>
      </c>
    </row>
    <row r="486" spans="1:7" x14ac:dyDescent="0.25">
      <c r="A486" s="340">
        <v>4224</v>
      </c>
      <c r="B486" s="433" t="s">
        <v>190</v>
      </c>
      <c r="C486" s="380">
        <f t="shared" ref="C486:D486" si="175">SUM(C487)</f>
        <v>0</v>
      </c>
      <c r="D486" s="380">
        <f t="shared" si="175"/>
        <v>0</v>
      </c>
      <c r="E486" s="380">
        <f>SUM(E487)</f>
        <v>376267.39</v>
      </c>
      <c r="F486" s="380">
        <f t="shared" ref="F486:G486" si="176">SUM(F487)</f>
        <v>376267.39</v>
      </c>
      <c r="G486" s="380">
        <f t="shared" si="176"/>
        <v>376267.39</v>
      </c>
    </row>
    <row r="487" spans="1:7" x14ac:dyDescent="0.25">
      <c r="A487" s="337">
        <v>42241</v>
      </c>
      <c r="B487" s="442" t="s">
        <v>469</v>
      </c>
      <c r="C487" s="403"/>
      <c r="D487" s="403"/>
      <c r="E487" s="403">
        <v>376267.39</v>
      </c>
      <c r="F487" s="403">
        <v>376267.39</v>
      </c>
      <c r="G487" s="403">
        <v>376267.39</v>
      </c>
    </row>
    <row r="488" spans="1:7" x14ac:dyDescent="0.25">
      <c r="A488" s="340">
        <v>4225</v>
      </c>
      <c r="B488" s="433" t="s">
        <v>191</v>
      </c>
      <c r="C488" s="380">
        <f t="shared" ref="C488:D488" si="177">SUM(C489)</f>
        <v>0</v>
      </c>
      <c r="D488" s="380">
        <f t="shared" si="177"/>
        <v>0</v>
      </c>
      <c r="E488" s="380">
        <f>SUM(E489)</f>
        <v>15000</v>
      </c>
      <c r="F488" s="380">
        <f t="shared" ref="F488:G488" si="178">SUM(F489)</f>
        <v>15000</v>
      </c>
      <c r="G488" s="380">
        <f t="shared" si="178"/>
        <v>15000</v>
      </c>
    </row>
    <row r="489" spans="1:7" x14ac:dyDescent="0.25">
      <c r="A489" s="337">
        <v>42251</v>
      </c>
      <c r="B489" s="442" t="s">
        <v>676</v>
      </c>
      <c r="C489" s="403"/>
      <c r="D489" s="403"/>
      <c r="E489" s="403">
        <v>15000</v>
      </c>
      <c r="F489" s="403">
        <v>15000</v>
      </c>
      <c r="G489" s="403">
        <v>15000</v>
      </c>
    </row>
    <row r="490" spans="1:7" s="381" customFormat="1" x14ac:dyDescent="0.25">
      <c r="A490" s="340">
        <v>4227</v>
      </c>
      <c r="B490" s="433" t="s">
        <v>192</v>
      </c>
      <c r="C490" s="380"/>
      <c r="D490" s="380"/>
      <c r="E490" s="380">
        <f>E491</f>
        <v>3968.5</v>
      </c>
      <c r="F490" s="380">
        <f t="shared" ref="F490:G490" si="179">F491</f>
        <v>3968.5</v>
      </c>
      <c r="G490" s="380">
        <f t="shared" si="179"/>
        <v>3968.5</v>
      </c>
    </row>
    <row r="491" spans="1:7" x14ac:dyDescent="0.25">
      <c r="A491" s="337">
        <v>42271</v>
      </c>
      <c r="B491" s="442" t="s">
        <v>677</v>
      </c>
      <c r="C491" s="403"/>
      <c r="D491" s="403"/>
      <c r="E491" s="403">
        <v>3968.5</v>
      </c>
      <c r="F491" s="403">
        <v>3968.5</v>
      </c>
      <c r="G491" s="403">
        <v>3968.5</v>
      </c>
    </row>
    <row r="492" spans="1:7" s="381" customFormat="1" x14ac:dyDescent="0.25">
      <c r="A492" s="340">
        <v>423</v>
      </c>
      <c r="B492" s="433" t="s">
        <v>193</v>
      </c>
      <c r="C492" s="380"/>
      <c r="D492" s="380"/>
      <c r="E492" s="380">
        <f>E493</f>
        <v>108000</v>
      </c>
      <c r="F492" s="380">
        <f t="shared" ref="F492:G493" si="180">F493</f>
        <v>108000</v>
      </c>
      <c r="G492" s="380">
        <f t="shared" si="180"/>
        <v>108000</v>
      </c>
    </row>
    <row r="493" spans="1:7" s="381" customFormat="1" x14ac:dyDescent="0.25">
      <c r="A493" s="340">
        <v>4231</v>
      </c>
      <c r="B493" s="433" t="s">
        <v>80</v>
      </c>
      <c r="C493" s="380"/>
      <c r="D493" s="380"/>
      <c r="E493" s="380">
        <f>E494</f>
        <v>108000</v>
      </c>
      <c r="F493" s="380">
        <f t="shared" si="180"/>
        <v>108000</v>
      </c>
      <c r="G493" s="380">
        <f t="shared" si="180"/>
        <v>108000</v>
      </c>
    </row>
    <row r="494" spans="1:7" x14ac:dyDescent="0.25">
      <c r="A494" s="337">
        <v>42311</v>
      </c>
      <c r="B494" s="442" t="s">
        <v>471</v>
      </c>
      <c r="C494" s="403"/>
      <c r="D494" s="403"/>
      <c r="E494" s="403">
        <v>108000</v>
      </c>
      <c r="F494" s="403">
        <v>108000</v>
      </c>
      <c r="G494" s="403">
        <v>108000</v>
      </c>
    </row>
    <row r="495" spans="1:7" s="381" customFormat="1" x14ac:dyDescent="0.25">
      <c r="A495" s="340">
        <v>426</v>
      </c>
      <c r="B495" s="433" t="s">
        <v>312</v>
      </c>
      <c r="C495" s="380"/>
      <c r="D495" s="380"/>
      <c r="E495" s="380">
        <f>E496</f>
        <v>2000</v>
      </c>
      <c r="F495" s="380">
        <f t="shared" ref="F495:G496" si="181">F496</f>
        <v>2000</v>
      </c>
      <c r="G495" s="380">
        <f t="shared" si="181"/>
        <v>2000</v>
      </c>
    </row>
    <row r="496" spans="1:7" s="381" customFormat="1" x14ac:dyDescent="0.25">
      <c r="A496" s="340">
        <v>4262</v>
      </c>
      <c r="B496" s="433" t="s">
        <v>195</v>
      </c>
      <c r="C496" s="380"/>
      <c r="D496" s="380"/>
      <c r="E496" s="380">
        <f>E497</f>
        <v>2000</v>
      </c>
      <c r="F496" s="380">
        <f t="shared" si="181"/>
        <v>2000</v>
      </c>
      <c r="G496" s="380">
        <f t="shared" si="181"/>
        <v>2000</v>
      </c>
    </row>
    <row r="497" spans="1:7" x14ac:dyDescent="0.25">
      <c r="A497" s="337">
        <v>42621</v>
      </c>
      <c r="B497" s="442" t="s">
        <v>195</v>
      </c>
      <c r="C497" s="403"/>
      <c r="D497" s="403"/>
      <c r="E497" s="403">
        <v>2000</v>
      </c>
      <c r="F497" s="403">
        <v>2000</v>
      </c>
      <c r="G497" s="403">
        <v>2000</v>
      </c>
    </row>
    <row r="498" spans="1:7" x14ac:dyDescent="0.25">
      <c r="A498" s="415" t="s">
        <v>196</v>
      </c>
      <c r="B498" s="434" t="s">
        <v>199</v>
      </c>
      <c r="C498" s="408">
        <f t="shared" ref="C498:D500" si="182">SUM(C499)</f>
        <v>0</v>
      </c>
      <c r="D498" s="408">
        <f t="shared" si="182"/>
        <v>0</v>
      </c>
      <c r="E498" s="408">
        <f>SUM(E499)</f>
        <v>176000</v>
      </c>
      <c r="F498" s="408">
        <f t="shared" ref="F498:G500" si="183">SUM(F499)</f>
        <v>176000</v>
      </c>
      <c r="G498" s="408">
        <f t="shared" si="183"/>
        <v>176000</v>
      </c>
    </row>
    <row r="499" spans="1:7" x14ac:dyDescent="0.25">
      <c r="A499" s="417" t="s">
        <v>198</v>
      </c>
      <c r="B499" s="418" t="s">
        <v>207</v>
      </c>
      <c r="C499" s="380">
        <f t="shared" si="182"/>
        <v>0</v>
      </c>
      <c r="D499" s="380">
        <f t="shared" si="182"/>
        <v>0</v>
      </c>
      <c r="E499" s="380">
        <f>SUM(E500)</f>
        <v>176000</v>
      </c>
      <c r="F499" s="380">
        <f t="shared" si="183"/>
        <v>176000</v>
      </c>
      <c r="G499" s="380">
        <f t="shared" si="183"/>
        <v>176000</v>
      </c>
    </row>
    <row r="500" spans="1:7" x14ac:dyDescent="0.25">
      <c r="A500" s="417" t="s">
        <v>200</v>
      </c>
      <c r="B500" s="418" t="s">
        <v>199</v>
      </c>
      <c r="C500" s="380">
        <f t="shared" si="182"/>
        <v>0</v>
      </c>
      <c r="D500" s="380">
        <f t="shared" si="182"/>
        <v>0</v>
      </c>
      <c r="E500" s="380">
        <f>SUM(E501)</f>
        <v>176000</v>
      </c>
      <c r="F500" s="380">
        <f t="shared" si="183"/>
        <v>176000</v>
      </c>
      <c r="G500" s="380">
        <f t="shared" si="183"/>
        <v>176000</v>
      </c>
    </row>
    <row r="501" spans="1:7" x14ac:dyDescent="0.25">
      <c r="A501" s="419" t="s">
        <v>513</v>
      </c>
      <c r="B501" s="331" t="s">
        <v>199</v>
      </c>
      <c r="C501" s="403"/>
      <c r="D501" s="403"/>
      <c r="E501" s="403">
        <v>176000</v>
      </c>
      <c r="F501" s="403">
        <v>176000</v>
      </c>
      <c r="G501" s="403">
        <v>176000</v>
      </c>
    </row>
    <row r="502" spans="1:7" s="394" customFormat="1" ht="47.25" x14ac:dyDescent="0.25">
      <c r="A502" s="454" t="s">
        <v>322</v>
      </c>
      <c r="B502" s="455" t="s">
        <v>363</v>
      </c>
      <c r="C502" s="384">
        <f t="shared" ref="C502:D503" si="184">C503</f>
        <v>0</v>
      </c>
      <c r="D502" s="384">
        <f t="shared" si="184"/>
        <v>0</v>
      </c>
      <c r="E502" s="384">
        <f>E503</f>
        <v>4778.0199999999995</v>
      </c>
      <c r="F502" s="384">
        <f t="shared" ref="F502:G503" si="185">F503</f>
        <v>4778.0199999999995</v>
      </c>
      <c r="G502" s="384">
        <f t="shared" si="185"/>
        <v>4778.0199999999995</v>
      </c>
    </row>
    <row r="503" spans="1:7" s="405" customFormat="1" x14ac:dyDescent="0.25">
      <c r="A503" s="439" t="s">
        <v>359</v>
      </c>
      <c r="B503" s="440" t="s">
        <v>360</v>
      </c>
      <c r="C503" s="387">
        <f t="shared" si="184"/>
        <v>0</v>
      </c>
      <c r="D503" s="387">
        <f t="shared" si="184"/>
        <v>0</v>
      </c>
      <c r="E503" s="387">
        <f>E504</f>
        <v>4778.0199999999995</v>
      </c>
      <c r="F503" s="387">
        <f t="shared" si="185"/>
        <v>4778.0199999999995</v>
      </c>
      <c r="G503" s="387">
        <f t="shared" si="185"/>
        <v>4778.0199999999995</v>
      </c>
    </row>
    <row r="504" spans="1:7" s="406" customFormat="1" x14ac:dyDescent="0.25">
      <c r="A504" s="453" t="s">
        <v>86</v>
      </c>
      <c r="B504" s="456" t="s">
        <v>87</v>
      </c>
      <c r="C504" s="391">
        <f t="shared" ref="C504:D504" si="186">C505+C514</f>
        <v>0</v>
      </c>
      <c r="D504" s="391">
        <f t="shared" si="186"/>
        <v>0</v>
      </c>
      <c r="E504" s="391">
        <f>E505+E514</f>
        <v>4778.0199999999995</v>
      </c>
      <c r="F504" s="391">
        <f t="shared" ref="F504:G504" si="187">F505+F514</f>
        <v>4778.0199999999995</v>
      </c>
      <c r="G504" s="391">
        <f t="shared" si="187"/>
        <v>4778.0199999999995</v>
      </c>
    </row>
    <row r="505" spans="1:7" x14ac:dyDescent="0.25">
      <c r="A505" s="415">
        <v>31</v>
      </c>
      <c r="B505" s="416" t="s">
        <v>88</v>
      </c>
      <c r="C505" s="408">
        <f t="shared" ref="C505:D505" si="188">C506+C509+C511</f>
        <v>0</v>
      </c>
      <c r="D505" s="408">
        <f t="shared" si="188"/>
        <v>0</v>
      </c>
      <c r="E505" s="408">
        <f>E506+E509+E511</f>
        <v>4778.0199999999995</v>
      </c>
      <c r="F505" s="408">
        <f t="shared" ref="F505:G505" si="189">F506+F509+F511</f>
        <v>4778.0199999999995</v>
      </c>
      <c r="G505" s="408">
        <f t="shared" si="189"/>
        <v>4778.0199999999995</v>
      </c>
    </row>
    <row r="506" spans="1:7" x14ac:dyDescent="0.25">
      <c r="A506" s="417">
        <v>311</v>
      </c>
      <c r="B506" s="418" t="s">
        <v>89</v>
      </c>
      <c r="C506" s="380">
        <f t="shared" ref="C506:D507" si="190">SUM(C507)</f>
        <v>0</v>
      </c>
      <c r="D506" s="380">
        <f t="shared" si="190"/>
        <v>0</v>
      </c>
      <c r="E506" s="380">
        <f>SUM(E507)</f>
        <v>4101.32</v>
      </c>
      <c r="F506" s="380">
        <f t="shared" ref="F506:G507" si="191">SUM(F507)</f>
        <v>4101.32</v>
      </c>
      <c r="G506" s="380">
        <f t="shared" si="191"/>
        <v>4101.32</v>
      </c>
    </row>
    <row r="507" spans="1:7" x14ac:dyDescent="0.25">
      <c r="A507" s="417">
        <v>3111</v>
      </c>
      <c r="B507" s="418" t="s">
        <v>90</v>
      </c>
      <c r="C507" s="380">
        <f t="shared" si="190"/>
        <v>0</v>
      </c>
      <c r="D507" s="380">
        <f t="shared" si="190"/>
        <v>0</v>
      </c>
      <c r="E507" s="380">
        <f>SUM(E508)</f>
        <v>4101.32</v>
      </c>
      <c r="F507" s="380">
        <f t="shared" si="191"/>
        <v>4101.32</v>
      </c>
      <c r="G507" s="380">
        <f t="shared" si="191"/>
        <v>4101.32</v>
      </c>
    </row>
    <row r="508" spans="1:7" x14ac:dyDescent="0.25">
      <c r="A508" s="419" t="s">
        <v>484</v>
      </c>
      <c r="B508" s="331" t="s">
        <v>90</v>
      </c>
      <c r="C508" s="403"/>
      <c r="D508" s="403"/>
      <c r="E508" s="403">
        <v>4101.32</v>
      </c>
      <c r="F508" s="403">
        <v>4101.32</v>
      </c>
      <c r="G508" s="403">
        <v>4101.32</v>
      </c>
    </row>
    <row r="509" spans="1:7" hidden="1" x14ac:dyDescent="0.25">
      <c r="A509" s="417" t="s">
        <v>97</v>
      </c>
      <c r="B509" s="418" t="s">
        <v>98</v>
      </c>
      <c r="C509" s="380">
        <f t="shared" ref="C509:D509" si="192">C510</f>
        <v>0</v>
      </c>
      <c r="D509" s="380">
        <f t="shared" si="192"/>
        <v>0</v>
      </c>
      <c r="E509" s="380">
        <f>E510</f>
        <v>0</v>
      </c>
      <c r="F509" s="380">
        <f t="shared" ref="F509:G509" si="193">F510</f>
        <v>0</v>
      </c>
      <c r="G509" s="380">
        <f t="shared" si="193"/>
        <v>0</v>
      </c>
    </row>
    <row r="510" spans="1:7" hidden="1" x14ac:dyDescent="0.25">
      <c r="A510" s="419" t="s">
        <v>99</v>
      </c>
      <c r="B510" s="331" t="s">
        <v>98</v>
      </c>
      <c r="C510" s="403"/>
      <c r="D510" s="403"/>
      <c r="E510" s="403"/>
      <c r="F510" s="403"/>
      <c r="G510" s="403"/>
    </row>
    <row r="511" spans="1:7" x14ac:dyDescent="0.25">
      <c r="A511" s="417" t="s">
        <v>212</v>
      </c>
      <c r="B511" s="418" t="s">
        <v>100</v>
      </c>
      <c r="C511" s="380">
        <f t="shared" ref="C511:D512" si="194">SUM(C512)</f>
        <v>0</v>
      </c>
      <c r="D511" s="380">
        <f t="shared" si="194"/>
        <v>0</v>
      </c>
      <c r="E511" s="380">
        <f>SUM(E512)</f>
        <v>676.7</v>
      </c>
      <c r="F511" s="380">
        <f t="shared" ref="F511:G512" si="195">SUM(F512)</f>
        <v>676.7</v>
      </c>
      <c r="G511" s="380">
        <f t="shared" si="195"/>
        <v>676.7</v>
      </c>
    </row>
    <row r="512" spans="1:7" x14ac:dyDescent="0.25">
      <c r="A512" s="417" t="s">
        <v>213</v>
      </c>
      <c r="B512" s="418" t="s">
        <v>101</v>
      </c>
      <c r="C512" s="380">
        <f t="shared" si="194"/>
        <v>0</v>
      </c>
      <c r="D512" s="380">
        <f t="shared" si="194"/>
        <v>0</v>
      </c>
      <c r="E512" s="380">
        <f>SUM(E513)</f>
        <v>676.7</v>
      </c>
      <c r="F512" s="380">
        <f t="shared" si="195"/>
        <v>676.7</v>
      </c>
      <c r="G512" s="380">
        <f t="shared" si="195"/>
        <v>676.7</v>
      </c>
    </row>
    <row r="513" spans="1:19" x14ac:dyDescent="0.25">
      <c r="A513" s="419" t="s">
        <v>494</v>
      </c>
      <c r="B513" s="331" t="s">
        <v>101</v>
      </c>
      <c r="C513" s="403"/>
      <c r="D513" s="403"/>
      <c r="E513" s="403">
        <v>676.7</v>
      </c>
      <c r="F513" s="403">
        <v>676.7</v>
      </c>
      <c r="G513" s="403">
        <v>676.7</v>
      </c>
    </row>
    <row r="514" spans="1:19" s="407" customFormat="1" hidden="1" x14ac:dyDescent="0.25">
      <c r="A514" s="415" t="s">
        <v>362</v>
      </c>
      <c r="B514" s="446" t="s">
        <v>102</v>
      </c>
      <c r="C514" s="408">
        <f t="shared" ref="C514:D514" si="196">C515+C517+C519</f>
        <v>0</v>
      </c>
      <c r="D514" s="408">
        <f t="shared" si="196"/>
        <v>0</v>
      </c>
      <c r="E514" s="408">
        <f>E515+E517+E519</f>
        <v>0</v>
      </c>
      <c r="F514" s="408">
        <f t="shared" ref="F514:G514" si="197">F515+F517+F519</f>
        <v>0</v>
      </c>
      <c r="G514" s="408">
        <f t="shared" si="197"/>
        <v>0</v>
      </c>
      <c r="H514" s="381"/>
      <c r="I514" s="381"/>
      <c r="J514" s="381"/>
      <c r="K514" s="381"/>
      <c r="L514" s="381"/>
      <c r="M514" s="381"/>
      <c r="N514" s="381"/>
      <c r="O514" s="381"/>
      <c r="P514" s="381"/>
      <c r="Q514" s="381"/>
      <c r="R514" s="381"/>
      <c r="S514" s="381"/>
    </row>
    <row r="515" spans="1:19" s="381" customFormat="1" hidden="1" x14ac:dyDescent="0.25">
      <c r="A515" s="417" t="s">
        <v>215</v>
      </c>
      <c r="B515" s="418" t="s">
        <v>103</v>
      </c>
      <c r="C515" s="380">
        <f t="shared" ref="C515:D515" si="198">C516</f>
        <v>0</v>
      </c>
      <c r="D515" s="380">
        <f t="shared" si="198"/>
        <v>0</v>
      </c>
      <c r="E515" s="380">
        <f>E516</f>
        <v>0</v>
      </c>
      <c r="F515" s="380">
        <f t="shared" ref="F515:G515" si="199">F516</f>
        <v>0</v>
      </c>
      <c r="G515" s="380">
        <f t="shared" si="199"/>
        <v>0</v>
      </c>
    </row>
    <row r="516" spans="1:19" hidden="1" x14ac:dyDescent="0.25">
      <c r="A516" s="419" t="s">
        <v>106</v>
      </c>
      <c r="B516" s="331" t="s">
        <v>107</v>
      </c>
      <c r="C516" s="403"/>
      <c r="D516" s="403"/>
      <c r="E516" s="403"/>
      <c r="F516" s="403"/>
      <c r="G516" s="403"/>
    </row>
    <row r="517" spans="1:19" s="381" customFormat="1" hidden="1" x14ac:dyDescent="0.25">
      <c r="A517" s="417" t="s">
        <v>112</v>
      </c>
      <c r="B517" s="418" t="s">
        <v>113</v>
      </c>
      <c r="C517" s="380">
        <f t="shared" ref="C517:D517" si="200">C518</f>
        <v>0</v>
      </c>
      <c r="D517" s="380">
        <f t="shared" si="200"/>
        <v>0</v>
      </c>
      <c r="E517" s="380">
        <f>E518</f>
        <v>0</v>
      </c>
      <c r="F517" s="380">
        <f t="shared" ref="F517:G517" si="201">F518</f>
        <v>0</v>
      </c>
      <c r="G517" s="380">
        <f t="shared" si="201"/>
        <v>0</v>
      </c>
    </row>
    <row r="518" spans="1:19" hidden="1" x14ac:dyDescent="0.25">
      <c r="A518" s="419" t="s">
        <v>118</v>
      </c>
      <c r="B518" s="331" t="s">
        <v>119</v>
      </c>
      <c r="C518" s="403"/>
      <c r="D518" s="403"/>
      <c r="E518" s="403"/>
      <c r="F518" s="403"/>
      <c r="G518" s="403"/>
    </row>
    <row r="519" spans="1:19" s="381" customFormat="1" hidden="1" x14ac:dyDescent="0.25">
      <c r="A519" s="417" t="s">
        <v>126</v>
      </c>
      <c r="B519" s="418" t="s">
        <v>127</v>
      </c>
      <c r="C519" s="380">
        <f t="shared" ref="C519:D519" si="202">C520</f>
        <v>0</v>
      </c>
      <c r="D519" s="380">
        <f t="shared" si="202"/>
        <v>0</v>
      </c>
      <c r="E519" s="380">
        <f>E520</f>
        <v>0</v>
      </c>
      <c r="F519" s="380">
        <f t="shared" ref="F519:G519" si="203">F520</f>
        <v>0</v>
      </c>
      <c r="G519" s="380">
        <f t="shared" si="203"/>
        <v>0</v>
      </c>
    </row>
    <row r="520" spans="1:19" hidden="1" x14ac:dyDescent="0.25">
      <c r="A520" s="419" t="s">
        <v>132</v>
      </c>
      <c r="B520" s="331" t="s">
        <v>133</v>
      </c>
      <c r="C520" s="403"/>
      <c r="D520" s="403"/>
      <c r="E520" s="403"/>
      <c r="F520" s="403"/>
      <c r="G520" s="403"/>
    </row>
    <row r="521" spans="1:19" ht="47.25" x14ac:dyDescent="0.25">
      <c r="A521" s="454" t="s">
        <v>322</v>
      </c>
      <c r="B521" s="455" t="s">
        <v>680</v>
      </c>
      <c r="C521" s="384">
        <f t="shared" ref="C521:D521" si="204">C522</f>
        <v>0</v>
      </c>
      <c r="D521" s="384">
        <f t="shared" si="204"/>
        <v>0</v>
      </c>
      <c r="E521" s="384">
        <f>E522</f>
        <v>6600</v>
      </c>
      <c r="F521" s="384">
        <f t="shared" ref="F521:G521" si="205">F522</f>
        <v>6600</v>
      </c>
      <c r="G521" s="384">
        <f t="shared" si="205"/>
        <v>6600</v>
      </c>
    </row>
    <row r="522" spans="1:19" s="405" customFormat="1" x14ac:dyDescent="0.25">
      <c r="A522" s="439" t="s">
        <v>359</v>
      </c>
      <c r="B522" s="440" t="s">
        <v>360</v>
      </c>
      <c r="C522" s="387">
        <f t="shared" ref="C522:D522" si="206">C523</f>
        <v>0</v>
      </c>
      <c r="D522" s="387">
        <f t="shared" si="206"/>
        <v>0</v>
      </c>
      <c r="E522" s="387">
        <f>E523</f>
        <v>6600</v>
      </c>
      <c r="F522" s="387">
        <f t="shared" ref="F522:G522" si="207">F523</f>
        <v>6600</v>
      </c>
      <c r="G522" s="387">
        <f t="shared" si="207"/>
        <v>6600</v>
      </c>
    </row>
    <row r="523" spans="1:19" s="406" customFormat="1" x14ac:dyDescent="0.25">
      <c r="A523" s="453" t="s">
        <v>86</v>
      </c>
      <c r="B523" s="456" t="s">
        <v>87</v>
      </c>
      <c r="C523" s="391">
        <f t="shared" ref="C523:D523" si="208">C524+C533</f>
        <v>0</v>
      </c>
      <c r="D523" s="391">
        <f t="shared" si="208"/>
        <v>0</v>
      </c>
      <c r="E523" s="391">
        <f>E524+E533</f>
        <v>6600</v>
      </c>
      <c r="F523" s="391">
        <f t="shared" ref="F523:G523" si="209">F524+F533</f>
        <v>6600</v>
      </c>
      <c r="G523" s="391">
        <f t="shared" si="209"/>
        <v>6600</v>
      </c>
    </row>
    <row r="524" spans="1:19" x14ac:dyDescent="0.25">
      <c r="A524" s="415">
        <v>31</v>
      </c>
      <c r="B524" s="416" t="s">
        <v>88</v>
      </c>
      <c r="C524" s="408">
        <f t="shared" ref="C524:D524" si="210">C525+C528+C530</f>
        <v>0</v>
      </c>
      <c r="D524" s="408">
        <f t="shared" si="210"/>
        <v>0</v>
      </c>
      <c r="E524" s="408">
        <f>E525+E528+E530</f>
        <v>2200</v>
      </c>
      <c r="F524" s="408">
        <f t="shared" ref="F524:G524" si="211">F525+F528+F530</f>
        <v>2200</v>
      </c>
      <c r="G524" s="408">
        <f t="shared" si="211"/>
        <v>2200</v>
      </c>
    </row>
    <row r="525" spans="1:19" x14ac:dyDescent="0.25">
      <c r="A525" s="417">
        <v>311</v>
      </c>
      <c r="B525" s="418" t="s">
        <v>89</v>
      </c>
      <c r="C525" s="380">
        <f t="shared" ref="C525:D526" si="212">SUM(C526)</f>
        <v>0</v>
      </c>
      <c r="D525" s="380">
        <f t="shared" si="212"/>
        <v>0</v>
      </c>
      <c r="E525" s="380">
        <f>SUM(E526)</f>
        <v>1888.41</v>
      </c>
      <c r="F525" s="380">
        <f t="shared" ref="F525:G526" si="213">SUM(F526)</f>
        <v>1888.41</v>
      </c>
      <c r="G525" s="380">
        <f t="shared" si="213"/>
        <v>1888.41</v>
      </c>
    </row>
    <row r="526" spans="1:19" x14ac:dyDescent="0.25">
      <c r="A526" s="417">
        <v>3111</v>
      </c>
      <c r="B526" s="418" t="s">
        <v>90</v>
      </c>
      <c r="C526" s="380">
        <f t="shared" si="212"/>
        <v>0</v>
      </c>
      <c r="D526" s="380">
        <f t="shared" si="212"/>
        <v>0</v>
      </c>
      <c r="E526" s="380">
        <f>SUM(E527)</f>
        <v>1888.41</v>
      </c>
      <c r="F526" s="380">
        <f t="shared" si="213"/>
        <v>1888.41</v>
      </c>
      <c r="G526" s="380">
        <f t="shared" si="213"/>
        <v>1888.41</v>
      </c>
    </row>
    <row r="527" spans="1:19" x14ac:dyDescent="0.25">
      <c r="A527" s="419" t="s">
        <v>484</v>
      </c>
      <c r="B527" s="331" t="s">
        <v>90</v>
      </c>
      <c r="C527" s="403"/>
      <c r="D527" s="403"/>
      <c r="E527" s="403">
        <v>1888.41</v>
      </c>
      <c r="F527" s="403">
        <v>1888.41</v>
      </c>
      <c r="G527" s="403">
        <v>1888.41</v>
      </c>
    </row>
    <row r="528" spans="1:19" hidden="1" x14ac:dyDescent="0.25">
      <c r="A528" s="417" t="s">
        <v>97</v>
      </c>
      <c r="B528" s="418" t="s">
        <v>98</v>
      </c>
      <c r="C528" s="380">
        <f t="shared" ref="C528:D528" si="214">C529</f>
        <v>0</v>
      </c>
      <c r="D528" s="380">
        <f t="shared" si="214"/>
        <v>0</v>
      </c>
      <c r="E528" s="380">
        <f>E529</f>
        <v>0</v>
      </c>
      <c r="F528" s="380">
        <f t="shared" ref="F528:G528" si="215">F529</f>
        <v>0</v>
      </c>
      <c r="G528" s="380">
        <f t="shared" si="215"/>
        <v>0</v>
      </c>
    </row>
    <row r="529" spans="1:7" hidden="1" x14ac:dyDescent="0.25">
      <c r="A529" s="419" t="s">
        <v>99</v>
      </c>
      <c r="B529" s="331" t="s">
        <v>98</v>
      </c>
      <c r="C529" s="403"/>
      <c r="D529" s="403"/>
      <c r="E529" s="403"/>
      <c r="F529" s="403"/>
      <c r="G529" s="403"/>
    </row>
    <row r="530" spans="1:7" x14ac:dyDescent="0.25">
      <c r="A530" s="417" t="s">
        <v>212</v>
      </c>
      <c r="B530" s="418" t="s">
        <v>100</v>
      </c>
      <c r="C530" s="380">
        <f t="shared" ref="C530:D531" si="216">SUM(C531)</f>
        <v>0</v>
      </c>
      <c r="D530" s="380">
        <f t="shared" si="216"/>
        <v>0</v>
      </c>
      <c r="E530" s="380">
        <f>SUM(E531)</f>
        <v>311.58999999999997</v>
      </c>
      <c r="F530" s="380">
        <f t="shared" ref="F530:G531" si="217">SUM(F531)</f>
        <v>311.58999999999997</v>
      </c>
      <c r="G530" s="380">
        <f t="shared" si="217"/>
        <v>311.58999999999997</v>
      </c>
    </row>
    <row r="531" spans="1:7" x14ac:dyDescent="0.25">
      <c r="A531" s="417" t="s">
        <v>213</v>
      </c>
      <c r="B531" s="418" t="s">
        <v>101</v>
      </c>
      <c r="C531" s="380">
        <f t="shared" si="216"/>
        <v>0</v>
      </c>
      <c r="D531" s="380">
        <f t="shared" si="216"/>
        <v>0</v>
      </c>
      <c r="E531" s="380">
        <f>SUM(E532)</f>
        <v>311.58999999999997</v>
      </c>
      <c r="F531" s="380">
        <f t="shared" si="217"/>
        <v>311.58999999999997</v>
      </c>
      <c r="G531" s="380">
        <f t="shared" si="217"/>
        <v>311.58999999999997</v>
      </c>
    </row>
    <row r="532" spans="1:7" x14ac:dyDescent="0.25">
      <c r="A532" s="419" t="s">
        <v>494</v>
      </c>
      <c r="B532" s="331" t="s">
        <v>101</v>
      </c>
      <c r="C532" s="403"/>
      <c r="D532" s="403"/>
      <c r="E532" s="403">
        <v>311.58999999999997</v>
      </c>
      <c r="F532" s="403">
        <v>311.58999999999997</v>
      </c>
      <c r="G532" s="403">
        <v>311.58999999999997</v>
      </c>
    </row>
    <row r="533" spans="1:7" s="381" customFormat="1" x14ac:dyDescent="0.25">
      <c r="A533" s="415" t="s">
        <v>362</v>
      </c>
      <c r="B533" s="446" t="s">
        <v>102</v>
      </c>
      <c r="C533" s="408">
        <f>C534+C541+C544</f>
        <v>0</v>
      </c>
      <c r="D533" s="408">
        <f>D534+D541+D544</f>
        <v>0</v>
      </c>
      <c r="E533" s="408">
        <f>E534+E541+E544</f>
        <v>4400</v>
      </c>
      <c r="F533" s="408">
        <f>F534+F541+F544</f>
        <v>4400</v>
      </c>
      <c r="G533" s="408">
        <f>G534+G541+G544</f>
        <v>4400</v>
      </c>
    </row>
    <row r="534" spans="1:7" s="381" customFormat="1" x14ac:dyDescent="0.25">
      <c r="A534" s="417" t="s">
        <v>215</v>
      </c>
      <c r="B534" s="418" t="s">
        <v>103</v>
      </c>
      <c r="C534" s="380">
        <f>C535+C538+C539</f>
        <v>0</v>
      </c>
      <c r="D534" s="380">
        <f t="shared" ref="D534:G534" si="218">D535+D538+D539</f>
        <v>0</v>
      </c>
      <c r="E534" s="380">
        <f t="shared" si="218"/>
        <v>4200</v>
      </c>
      <c r="F534" s="380">
        <f t="shared" si="218"/>
        <v>4200</v>
      </c>
      <c r="G534" s="380">
        <f t="shared" si="218"/>
        <v>4200</v>
      </c>
    </row>
    <row r="535" spans="1:7" s="381" customFormat="1" x14ac:dyDescent="0.25">
      <c r="A535" s="417" t="s">
        <v>104</v>
      </c>
      <c r="B535" s="418" t="s">
        <v>105</v>
      </c>
      <c r="C535" s="380">
        <f>C536+C537</f>
        <v>0</v>
      </c>
      <c r="D535" s="380">
        <f t="shared" ref="D535:G535" si="219">D536+D537</f>
        <v>0</v>
      </c>
      <c r="E535" s="380">
        <f t="shared" si="219"/>
        <v>470</v>
      </c>
      <c r="F535" s="380">
        <f t="shared" si="219"/>
        <v>470</v>
      </c>
      <c r="G535" s="380">
        <f t="shared" si="219"/>
        <v>470</v>
      </c>
    </row>
    <row r="536" spans="1:7" s="400" customFormat="1" x14ac:dyDescent="0.25">
      <c r="A536" s="419">
        <v>32111</v>
      </c>
      <c r="B536" s="442" t="s">
        <v>407</v>
      </c>
      <c r="C536" s="403"/>
      <c r="D536" s="403"/>
      <c r="E536" s="403">
        <v>400</v>
      </c>
      <c r="F536" s="403">
        <v>400</v>
      </c>
      <c r="G536" s="403">
        <v>400</v>
      </c>
    </row>
    <row r="537" spans="1:7" s="400" customFormat="1" x14ac:dyDescent="0.25">
      <c r="A537" s="419" t="s">
        <v>592</v>
      </c>
      <c r="B537" s="442" t="s">
        <v>593</v>
      </c>
      <c r="C537" s="420"/>
      <c r="D537" s="420"/>
      <c r="E537" s="420">
        <v>70</v>
      </c>
      <c r="F537" s="420">
        <v>70</v>
      </c>
      <c r="G537" s="420">
        <v>70</v>
      </c>
    </row>
    <row r="538" spans="1:7" s="381" customFormat="1" hidden="1" x14ac:dyDescent="0.25">
      <c r="A538" s="417" t="s">
        <v>106</v>
      </c>
      <c r="B538" s="418" t="s">
        <v>107</v>
      </c>
      <c r="C538" s="380"/>
      <c r="D538" s="380"/>
      <c r="E538" s="380"/>
      <c r="F538" s="380"/>
      <c r="G538" s="380"/>
    </row>
    <row r="539" spans="1:7" s="381" customFormat="1" x14ac:dyDescent="0.25">
      <c r="A539" s="417" t="s">
        <v>108</v>
      </c>
      <c r="B539" s="418" t="s">
        <v>109</v>
      </c>
      <c r="C539" s="380">
        <f>C540</f>
        <v>0</v>
      </c>
      <c r="D539" s="380">
        <f t="shared" ref="D539:G539" si="220">D540</f>
        <v>0</v>
      </c>
      <c r="E539" s="380">
        <f t="shared" si="220"/>
        <v>3730</v>
      </c>
      <c r="F539" s="380">
        <f t="shared" si="220"/>
        <v>3730</v>
      </c>
      <c r="G539" s="380">
        <f t="shared" si="220"/>
        <v>3730</v>
      </c>
    </row>
    <row r="540" spans="1:7" x14ac:dyDescent="0.25">
      <c r="A540" s="419" t="s">
        <v>534</v>
      </c>
      <c r="B540" s="331" t="s">
        <v>411</v>
      </c>
      <c r="C540" s="403"/>
      <c r="D540" s="403"/>
      <c r="E540" s="403">
        <v>3730</v>
      </c>
      <c r="F540" s="403">
        <v>3730</v>
      </c>
      <c r="G540" s="403">
        <v>3730</v>
      </c>
    </row>
    <row r="541" spans="1:7" s="381" customFormat="1" x14ac:dyDescent="0.25">
      <c r="A541" s="417" t="s">
        <v>112</v>
      </c>
      <c r="B541" s="418" t="s">
        <v>113</v>
      </c>
      <c r="C541" s="380">
        <f>C542</f>
        <v>0</v>
      </c>
      <c r="D541" s="380">
        <f t="shared" ref="D541:G542" si="221">D542</f>
        <v>0</v>
      </c>
      <c r="E541" s="380">
        <f t="shared" si="221"/>
        <v>200</v>
      </c>
      <c r="F541" s="380">
        <f t="shared" si="221"/>
        <v>200</v>
      </c>
      <c r="G541" s="380">
        <f t="shared" si="221"/>
        <v>200</v>
      </c>
    </row>
    <row r="542" spans="1:7" s="381" customFormat="1" x14ac:dyDescent="0.25">
      <c r="A542" s="417" t="s">
        <v>118</v>
      </c>
      <c r="B542" s="418" t="s">
        <v>119</v>
      </c>
      <c r="C542" s="380">
        <f>C543</f>
        <v>0</v>
      </c>
      <c r="D542" s="380">
        <f t="shared" si="221"/>
        <v>0</v>
      </c>
      <c r="E542" s="380">
        <f t="shared" si="221"/>
        <v>200</v>
      </c>
      <c r="F542" s="380">
        <f t="shared" si="221"/>
        <v>200</v>
      </c>
      <c r="G542" s="380">
        <f t="shared" si="221"/>
        <v>200</v>
      </c>
    </row>
    <row r="543" spans="1:7" x14ac:dyDescent="0.25">
      <c r="A543" s="419" t="s">
        <v>503</v>
      </c>
      <c r="B543" s="331" t="s">
        <v>422</v>
      </c>
      <c r="C543" s="403"/>
      <c r="D543" s="403"/>
      <c r="E543" s="403">
        <v>200</v>
      </c>
      <c r="F543" s="403">
        <v>200</v>
      </c>
      <c r="G543" s="403">
        <v>200</v>
      </c>
    </row>
    <row r="544" spans="1:7" s="381" customFormat="1" hidden="1" x14ac:dyDescent="0.25">
      <c r="A544" s="417" t="s">
        <v>126</v>
      </c>
      <c r="B544" s="418" t="s">
        <v>127</v>
      </c>
      <c r="C544" s="380">
        <f t="shared" ref="C544:D544" si="222">C545</f>
        <v>0</v>
      </c>
      <c r="D544" s="380">
        <f t="shared" si="222"/>
        <v>0</v>
      </c>
      <c r="E544" s="380">
        <f>E545</f>
        <v>0</v>
      </c>
      <c r="F544" s="380">
        <f t="shared" ref="F544:G544" si="223">F545</f>
        <v>0</v>
      </c>
      <c r="G544" s="380">
        <f t="shared" si="223"/>
        <v>0</v>
      </c>
    </row>
    <row r="545" spans="1:7" hidden="1" x14ac:dyDescent="0.25">
      <c r="A545" s="419" t="s">
        <v>132</v>
      </c>
      <c r="B545" s="331" t="s">
        <v>133</v>
      </c>
      <c r="C545" s="403"/>
      <c r="D545" s="403"/>
      <c r="E545" s="403"/>
      <c r="F545" s="403"/>
      <c r="G545" s="403"/>
    </row>
    <row r="546" spans="1:7" s="381" customFormat="1" hidden="1" x14ac:dyDescent="0.25">
      <c r="A546" s="417" t="s">
        <v>112</v>
      </c>
      <c r="B546" s="418" t="s">
        <v>113</v>
      </c>
      <c r="C546" s="380">
        <f>C547</f>
        <v>0</v>
      </c>
      <c r="D546" s="380">
        <f t="shared" ref="D546:D547" si="224">D547</f>
        <v>0</v>
      </c>
      <c r="E546" s="380">
        <f t="shared" ref="E546:E547" si="225">E547</f>
        <v>0</v>
      </c>
      <c r="F546" s="380">
        <f t="shared" ref="F546:F547" si="226">F547</f>
        <v>0</v>
      </c>
      <c r="G546" s="380">
        <f t="shared" ref="G546:G547" si="227">G547</f>
        <v>0</v>
      </c>
    </row>
    <row r="547" spans="1:7" s="381" customFormat="1" hidden="1" x14ac:dyDescent="0.25">
      <c r="A547" s="417" t="s">
        <v>118</v>
      </c>
      <c r="B547" s="418" t="s">
        <v>119</v>
      </c>
      <c r="C547" s="380">
        <f>C548</f>
        <v>0</v>
      </c>
      <c r="D547" s="380">
        <f t="shared" si="224"/>
        <v>0</v>
      </c>
      <c r="E547" s="380">
        <f t="shared" si="225"/>
        <v>0</v>
      </c>
      <c r="F547" s="380">
        <f t="shared" si="226"/>
        <v>0</v>
      </c>
      <c r="G547" s="380">
        <f t="shared" si="227"/>
        <v>0</v>
      </c>
    </row>
    <row r="548" spans="1:7" hidden="1" x14ac:dyDescent="0.25">
      <c r="A548" s="419" t="s">
        <v>503</v>
      </c>
      <c r="B548" s="331" t="s">
        <v>422</v>
      </c>
      <c r="C548" s="403"/>
      <c r="D548" s="403"/>
      <c r="E548" s="403"/>
      <c r="F548" s="403"/>
      <c r="G548" s="403"/>
    </row>
    <row r="549" spans="1:7" s="381" customFormat="1" hidden="1" x14ac:dyDescent="0.25">
      <c r="A549" s="417" t="s">
        <v>126</v>
      </c>
      <c r="B549" s="418" t="s">
        <v>127</v>
      </c>
      <c r="C549" s="380">
        <f t="shared" ref="C549:D549" si="228">C550</f>
        <v>0</v>
      </c>
      <c r="D549" s="380">
        <f t="shared" si="228"/>
        <v>0</v>
      </c>
      <c r="E549" s="380">
        <f>E550</f>
        <v>0</v>
      </c>
      <c r="F549" s="380">
        <f t="shared" ref="F549:G549" si="229">F550</f>
        <v>0</v>
      </c>
      <c r="G549" s="380">
        <f t="shared" si="229"/>
        <v>0</v>
      </c>
    </row>
    <row r="550" spans="1:7" hidden="1" x14ac:dyDescent="0.25">
      <c r="A550" s="419" t="s">
        <v>132</v>
      </c>
      <c r="B550" s="331" t="s">
        <v>133</v>
      </c>
      <c r="C550" s="403"/>
      <c r="D550" s="403"/>
      <c r="E550" s="403"/>
      <c r="F550" s="403"/>
      <c r="G550" s="403"/>
    </row>
    <row r="551" spans="1:7" ht="31.5" x14ac:dyDescent="0.25">
      <c r="A551" s="454" t="s">
        <v>322</v>
      </c>
      <c r="B551" s="455" t="s">
        <v>691</v>
      </c>
      <c r="C551" s="384">
        <f t="shared" ref="C551:D552" si="230">C552</f>
        <v>0</v>
      </c>
      <c r="D551" s="384">
        <f t="shared" si="230"/>
        <v>0</v>
      </c>
      <c r="E551" s="384">
        <f t="shared" ref="E551:E556" si="231">E552</f>
        <v>18000</v>
      </c>
      <c r="F551" s="384">
        <f t="shared" ref="F551:G556" si="232">F552</f>
        <v>18000</v>
      </c>
      <c r="G551" s="384">
        <f t="shared" si="232"/>
        <v>18000</v>
      </c>
    </row>
    <row r="552" spans="1:7" x14ac:dyDescent="0.25">
      <c r="A552" s="439" t="s">
        <v>359</v>
      </c>
      <c r="B552" s="440" t="s">
        <v>360</v>
      </c>
      <c r="C552" s="387">
        <f t="shared" si="230"/>
        <v>0</v>
      </c>
      <c r="D552" s="387">
        <f t="shared" si="230"/>
        <v>0</v>
      </c>
      <c r="E552" s="387">
        <f t="shared" si="231"/>
        <v>18000</v>
      </c>
      <c r="F552" s="387">
        <f t="shared" si="232"/>
        <v>18000</v>
      </c>
      <c r="G552" s="387">
        <f t="shared" si="232"/>
        <v>18000</v>
      </c>
    </row>
    <row r="553" spans="1:7" x14ac:dyDescent="0.25">
      <c r="A553" s="453" t="s">
        <v>86</v>
      </c>
      <c r="B553" s="456" t="s">
        <v>87</v>
      </c>
      <c r="C553" s="391">
        <f>C554+C562</f>
        <v>0</v>
      </c>
      <c r="D553" s="391">
        <f>D554+D562</f>
        <v>0</v>
      </c>
      <c r="E553" s="391">
        <f t="shared" si="231"/>
        <v>18000</v>
      </c>
      <c r="F553" s="391">
        <f t="shared" si="232"/>
        <v>18000</v>
      </c>
      <c r="G553" s="391">
        <f t="shared" si="232"/>
        <v>18000</v>
      </c>
    </row>
    <row r="554" spans="1:7" x14ac:dyDescent="0.25">
      <c r="A554" s="415" t="s">
        <v>362</v>
      </c>
      <c r="B554" s="446" t="s">
        <v>102</v>
      </c>
      <c r="C554" s="408">
        <f>C555+C561+C564</f>
        <v>0</v>
      </c>
      <c r="D554" s="408">
        <f>D555+D561+D564</f>
        <v>0</v>
      </c>
      <c r="E554" s="408">
        <f t="shared" si="231"/>
        <v>18000</v>
      </c>
      <c r="F554" s="408">
        <f t="shared" si="232"/>
        <v>18000</v>
      </c>
      <c r="G554" s="408">
        <f t="shared" si="232"/>
        <v>18000</v>
      </c>
    </row>
    <row r="555" spans="1:7" s="381" customFormat="1" x14ac:dyDescent="0.25">
      <c r="A555" s="417" t="s">
        <v>219</v>
      </c>
      <c r="B555" s="418" t="s">
        <v>144</v>
      </c>
      <c r="C555" s="380"/>
      <c r="D555" s="380"/>
      <c r="E555" s="380">
        <f t="shared" si="231"/>
        <v>18000</v>
      </c>
      <c r="F555" s="380">
        <f t="shared" si="232"/>
        <v>18000</v>
      </c>
      <c r="G555" s="380">
        <f t="shared" si="232"/>
        <v>18000</v>
      </c>
    </row>
    <row r="556" spans="1:7" s="381" customFormat="1" x14ac:dyDescent="0.25">
      <c r="A556" s="417" t="s">
        <v>152</v>
      </c>
      <c r="B556" s="418" t="s">
        <v>144</v>
      </c>
      <c r="C556" s="380"/>
      <c r="D556" s="380"/>
      <c r="E556" s="380">
        <f t="shared" si="231"/>
        <v>18000</v>
      </c>
      <c r="F556" s="380">
        <f t="shared" si="232"/>
        <v>18000</v>
      </c>
      <c r="G556" s="380">
        <f t="shared" si="232"/>
        <v>18000</v>
      </c>
    </row>
    <row r="557" spans="1:7" x14ac:dyDescent="0.25">
      <c r="A557" s="419" t="s">
        <v>681</v>
      </c>
      <c r="B557" s="331" t="s">
        <v>144</v>
      </c>
      <c r="C557" s="403"/>
      <c r="D557" s="403"/>
      <c r="E557" s="403">
        <v>18000</v>
      </c>
      <c r="F557" s="403">
        <v>18000</v>
      </c>
      <c r="G557" s="403">
        <v>18000</v>
      </c>
    </row>
    <row r="558" spans="1:7" s="394" customFormat="1" ht="63" x14ac:dyDescent="0.25">
      <c r="A558" s="454" t="s">
        <v>322</v>
      </c>
      <c r="B558" s="455" t="s">
        <v>688</v>
      </c>
      <c r="C558" s="384">
        <f t="shared" ref="C558:D559" si="233">C559</f>
        <v>0</v>
      </c>
      <c r="D558" s="384">
        <f t="shared" si="233"/>
        <v>0</v>
      </c>
      <c r="E558" s="384">
        <f>E559</f>
        <v>437409.22</v>
      </c>
      <c r="F558" s="384">
        <f t="shared" ref="F558:G558" si="234">F559</f>
        <v>365485.22</v>
      </c>
      <c r="G558" s="384">
        <f t="shared" si="234"/>
        <v>262923.40000000002</v>
      </c>
    </row>
    <row r="559" spans="1:7" s="405" customFormat="1" x14ac:dyDescent="0.25">
      <c r="A559" s="439" t="s">
        <v>686</v>
      </c>
      <c r="B559" s="440" t="s">
        <v>687</v>
      </c>
      <c r="C559" s="387">
        <f t="shared" si="233"/>
        <v>0</v>
      </c>
      <c r="D559" s="387">
        <f t="shared" si="233"/>
        <v>0</v>
      </c>
      <c r="E559" s="387">
        <f>E560</f>
        <v>437409.22</v>
      </c>
      <c r="F559" s="387">
        <f t="shared" ref="F559:G559" si="235">F560</f>
        <v>365485.22</v>
      </c>
      <c r="G559" s="387">
        <f t="shared" si="235"/>
        <v>262923.40000000002</v>
      </c>
    </row>
    <row r="560" spans="1:7" s="406" customFormat="1" x14ac:dyDescent="0.25">
      <c r="A560" s="453" t="s">
        <v>86</v>
      </c>
      <c r="B560" s="456" t="s">
        <v>87</v>
      </c>
      <c r="C560" s="391">
        <f t="shared" ref="C560:D560" si="236">C561+C574</f>
        <v>0</v>
      </c>
      <c r="D560" s="391">
        <f t="shared" si="236"/>
        <v>0</v>
      </c>
      <c r="E560" s="391">
        <f>E561+E574+E591</f>
        <v>437409.22</v>
      </c>
      <c r="F560" s="391">
        <f t="shared" ref="F560:G560" si="237">F561+F574+F591</f>
        <v>365485.22</v>
      </c>
      <c r="G560" s="391">
        <f t="shared" si="237"/>
        <v>262923.40000000002</v>
      </c>
    </row>
    <row r="561" spans="1:7" x14ac:dyDescent="0.25">
      <c r="A561" s="415">
        <v>31</v>
      </c>
      <c r="B561" s="416" t="s">
        <v>88</v>
      </c>
      <c r="C561" s="408">
        <f t="shared" ref="C561:D561" si="238">C562+C565+C571</f>
        <v>0</v>
      </c>
      <c r="D561" s="408">
        <f t="shared" si="238"/>
        <v>0</v>
      </c>
      <c r="E561" s="408">
        <f>E562+E565+E571</f>
        <v>395904.89999999997</v>
      </c>
      <c r="F561" s="408">
        <f>F562+F565+F571</f>
        <v>323766.89999999997</v>
      </c>
      <c r="G561" s="408">
        <f>G562+G565+G571</f>
        <v>232227.62</v>
      </c>
    </row>
    <row r="562" spans="1:7" x14ac:dyDescent="0.25">
      <c r="A562" s="417">
        <v>311</v>
      </c>
      <c r="B562" s="418" t="s">
        <v>89</v>
      </c>
      <c r="C562" s="380">
        <f t="shared" ref="C562:D562" si="239">C563</f>
        <v>0</v>
      </c>
      <c r="D562" s="380">
        <f t="shared" si="239"/>
        <v>0</v>
      </c>
      <c r="E562" s="380">
        <f>E563</f>
        <v>362148.92</v>
      </c>
      <c r="F562" s="380">
        <f t="shared" ref="F562:G562" si="240">F563</f>
        <v>288648.92</v>
      </c>
      <c r="G562" s="380">
        <f t="shared" si="240"/>
        <v>201425.22999999998</v>
      </c>
    </row>
    <row r="563" spans="1:7" x14ac:dyDescent="0.25">
      <c r="A563" s="417" t="s">
        <v>524</v>
      </c>
      <c r="B563" s="418" t="s">
        <v>90</v>
      </c>
      <c r="C563" s="380">
        <f t="shared" ref="C563:D563" si="241">SUM(C564)</f>
        <v>0</v>
      </c>
      <c r="D563" s="380">
        <f t="shared" si="241"/>
        <v>0</v>
      </c>
      <c r="E563" s="380">
        <f>SUM(E564)</f>
        <v>362148.92</v>
      </c>
      <c r="F563" s="380">
        <f t="shared" ref="F563:G563" si="242">SUM(F564)</f>
        <v>288648.92</v>
      </c>
      <c r="G563" s="380">
        <f t="shared" si="242"/>
        <v>201425.22999999998</v>
      </c>
    </row>
    <row r="564" spans="1:7" x14ac:dyDescent="0.25">
      <c r="A564" s="419" t="s">
        <v>484</v>
      </c>
      <c r="B564" s="331" t="s">
        <v>90</v>
      </c>
      <c r="C564" s="403"/>
      <c r="D564" s="403"/>
      <c r="E564" s="403">
        <v>362148.92</v>
      </c>
      <c r="F564" s="403">
        <v>288648.92</v>
      </c>
      <c r="G564" s="403">
        <v>201425.22999999998</v>
      </c>
    </row>
    <row r="565" spans="1:7" x14ac:dyDescent="0.25">
      <c r="A565" s="417" t="s">
        <v>97</v>
      </c>
      <c r="B565" s="418" t="s">
        <v>98</v>
      </c>
      <c r="C565" s="380">
        <f t="shared" ref="C565:D565" si="243">C566</f>
        <v>0</v>
      </c>
      <c r="D565" s="380">
        <f t="shared" si="243"/>
        <v>0</v>
      </c>
      <c r="E565" s="380">
        <f>E566</f>
        <v>5495.42</v>
      </c>
      <c r="F565" s="380">
        <f t="shared" ref="F565:G565" si="244">F566</f>
        <v>5495.42</v>
      </c>
      <c r="G565" s="380">
        <f t="shared" si="244"/>
        <v>4500</v>
      </c>
    </row>
    <row r="566" spans="1:7" x14ac:dyDescent="0.25">
      <c r="A566" s="417" t="s">
        <v>99</v>
      </c>
      <c r="B566" s="418" t="s">
        <v>98</v>
      </c>
      <c r="C566" s="380">
        <f t="shared" ref="C566:D566" si="245">SUM(C568:C570)</f>
        <v>0</v>
      </c>
      <c r="D566" s="380">
        <f t="shared" si="245"/>
        <v>0</v>
      </c>
      <c r="E566" s="380">
        <f>SUM(E567:E570)</f>
        <v>5495.42</v>
      </c>
      <c r="F566" s="380">
        <f t="shared" ref="F566:G566" si="246">SUM(F567:F570)</f>
        <v>5495.42</v>
      </c>
      <c r="G566" s="380">
        <f t="shared" si="246"/>
        <v>4500</v>
      </c>
    </row>
    <row r="567" spans="1:7" x14ac:dyDescent="0.25">
      <c r="A567" s="419" t="s">
        <v>489</v>
      </c>
      <c r="B567" s="331" t="s">
        <v>404</v>
      </c>
      <c r="C567" s="403"/>
      <c r="D567" s="403"/>
      <c r="E567" s="403">
        <v>300</v>
      </c>
      <c r="F567" s="403">
        <v>300</v>
      </c>
      <c r="G567" s="403">
        <v>300</v>
      </c>
    </row>
    <row r="568" spans="1:7" x14ac:dyDescent="0.25">
      <c r="A568" s="419" t="s">
        <v>492</v>
      </c>
      <c r="B568" s="331" t="s">
        <v>406</v>
      </c>
      <c r="C568" s="403"/>
      <c r="D568" s="403"/>
      <c r="E568" s="403">
        <v>2100</v>
      </c>
      <c r="F568" s="403">
        <v>2100</v>
      </c>
      <c r="G568" s="403">
        <v>1800</v>
      </c>
    </row>
    <row r="569" spans="1:7" x14ac:dyDescent="0.25">
      <c r="A569" s="419" t="s">
        <v>629</v>
      </c>
      <c r="B569" s="331" t="s">
        <v>630</v>
      </c>
      <c r="C569" s="403"/>
      <c r="D569" s="403"/>
      <c r="E569" s="403">
        <v>1600</v>
      </c>
      <c r="F569" s="403">
        <v>1600</v>
      </c>
      <c r="G569" s="403">
        <v>1600</v>
      </c>
    </row>
    <row r="570" spans="1:7" x14ac:dyDescent="0.25">
      <c r="A570" s="419" t="s">
        <v>493</v>
      </c>
      <c r="B570" s="331" t="s">
        <v>401</v>
      </c>
      <c r="C570" s="403"/>
      <c r="D570" s="403"/>
      <c r="E570" s="403">
        <v>1495.42</v>
      </c>
      <c r="F570" s="403">
        <v>1495.42</v>
      </c>
      <c r="G570" s="403">
        <v>800</v>
      </c>
    </row>
    <row r="571" spans="1:7" x14ac:dyDescent="0.25">
      <c r="A571" s="417" t="s">
        <v>212</v>
      </c>
      <c r="B571" s="418" t="s">
        <v>100</v>
      </c>
      <c r="C571" s="380">
        <f t="shared" ref="C571:D571" si="247">C572</f>
        <v>0</v>
      </c>
      <c r="D571" s="380">
        <f t="shared" si="247"/>
        <v>0</v>
      </c>
      <c r="E571" s="380">
        <f>E572</f>
        <v>28260.559999999998</v>
      </c>
      <c r="F571" s="380">
        <f t="shared" ref="F571:G571" si="248">F572</f>
        <v>29622.559999999998</v>
      </c>
      <c r="G571" s="380">
        <f t="shared" si="248"/>
        <v>26302.39</v>
      </c>
    </row>
    <row r="572" spans="1:7" x14ac:dyDescent="0.25">
      <c r="A572" s="417" t="s">
        <v>213</v>
      </c>
      <c r="B572" s="418" t="s">
        <v>101</v>
      </c>
      <c r="C572" s="380">
        <f t="shared" ref="C572:D572" si="249">SUM(C573)</f>
        <v>0</v>
      </c>
      <c r="D572" s="380">
        <f t="shared" si="249"/>
        <v>0</v>
      </c>
      <c r="E572" s="380">
        <f>SUM(E573)</f>
        <v>28260.559999999998</v>
      </c>
      <c r="F572" s="380">
        <f t="shared" ref="F572:G572" si="250">SUM(F573)</f>
        <v>29622.559999999998</v>
      </c>
      <c r="G572" s="380">
        <f t="shared" si="250"/>
        <v>26302.39</v>
      </c>
    </row>
    <row r="573" spans="1:7" x14ac:dyDescent="0.25">
      <c r="A573" s="419" t="s">
        <v>494</v>
      </c>
      <c r="B573" s="331" t="s">
        <v>101</v>
      </c>
      <c r="C573" s="403"/>
      <c r="D573" s="403"/>
      <c r="E573" s="403">
        <v>28260.559999999998</v>
      </c>
      <c r="F573" s="403">
        <v>29622.559999999998</v>
      </c>
      <c r="G573" s="403">
        <v>26302.39</v>
      </c>
    </row>
    <row r="574" spans="1:7" s="381" customFormat="1" x14ac:dyDescent="0.25">
      <c r="A574" s="445" t="s">
        <v>362</v>
      </c>
      <c r="B574" s="446" t="s">
        <v>102</v>
      </c>
      <c r="C574" s="408">
        <f>C575+C584+C586</f>
        <v>0</v>
      </c>
      <c r="D574" s="408">
        <f>D575+D584+D586</f>
        <v>0</v>
      </c>
      <c r="E574" s="408">
        <f>E575+E584+E586</f>
        <v>38304.32</v>
      </c>
      <c r="F574" s="408">
        <f>F575+F584+F586</f>
        <v>38454.32</v>
      </c>
      <c r="G574" s="408">
        <f>G575+G584+G586</f>
        <v>27366.5</v>
      </c>
    </row>
    <row r="575" spans="1:7" s="381" customFormat="1" x14ac:dyDescent="0.25">
      <c r="A575" s="417" t="s">
        <v>215</v>
      </c>
      <c r="B575" s="418" t="s">
        <v>103</v>
      </c>
      <c r="C575" s="380">
        <f>C576+C580+C582</f>
        <v>0</v>
      </c>
      <c r="D575" s="380">
        <f>D576+D580+D582</f>
        <v>0</v>
      </c>
      <c r="E575" s="380">
        <f>E576+E580+E582</f>
        <v>35422.639999999999</v>
      </c>
      <c r="F575" s="380">
        <f>F576+F580+F582</f>
        <v>35572.639999999999</v>
      </c>
      <c r="G575" s="380">
        <f>G576+G580+G582</f>
        <v>25445</v>
      </c>
    </row>
    <row r="576" spans="1:7" s="381" customFormat="1" x14ac:dyDescent="0.25">
      <c r="A576" s="417" t="s">
        <v>104</v>
      </c>
      <c r="B576" s="418" t="s">
        <v>105</v>
      </c>
      <c r="C576" s="380">
        <f t="shared" ref="C576:D576" si="251">SUM(C577)</f>
        <v>0</v>
      </c>
      <c r="D576" s="380">
        <f t="shared" si="251"/>
        <v>0</v>
      </c>
      <c r="E576" s="380">
        <f>SUM(E577:E579)</f>
        <v>11616.17</v>
      </c>
      <c r="F576" s="380">
        <f t="shared" ref="F576:G576" si="252">SUM(F577:F579)</f>
        <v>11666.17</v>
      </c>
      <c r="G576" s="380">
        <f t="shared" si="252"/>
        <v>8003</v>
      </c>
    </row>
    <row r="577" spans="1:7" s="381" customFormat="1" x14ac:dyDescent="0.25">
      <c r="A577" s="419" t="s">
        <v>525</v>
      </c>
      <c r="B577" s="331" t="s">
        <v>407</v>
      </c>
      <c r="C577" s="403">
        <v>0</v>
      </c>
      <c r="D577" s="403"/>
      <c r="E577" s="403">
        <v>5116.17</v>
      </c>
      <c r="F577" s="403">
        <v>5166.17</v>
      </c>
      <c r="G577" s="403">
        <v>1503</v>
      </c>
    </row>
    <row r="578" spans="1:7" s="381" customFormat="1" x14ac:dyDescent="0.25">
      <c r="A578" s="419" t="s">
        <v>532</v>
      </c>
      <c r="B578" s="331" t="s">
        <v>409</v>
      </c>
      <c r="C578" s="403"/>
      <c r="D578" s="403"/>
      <c r="E578" s="403">
        <v>4500</v>
      </c>
      <c r="F578" s="403">
        <v>4500</v>
      </c>
      <c r="G578" s="403">
        <v>4500</v>
      </c>
    </row>
    <row r="579" spans="1:7" s="381" customFormat="1" x14ac:dyDescent="0.25">
      <c r="A579" s="419" t="s">
        <v>514</v>
      </c>
      <c r="B579" s="331" t="s">
        <v>410</v>
      </c>
      <c r="C579" s="403"/>
      <c r="D579" s="403"/>
      <c r="E579" s="403">
        <v>2000</v>
      </c>
      <c r="F579" s="403">
        <v>2000</v>
      </c>
      <c r="G579" s="403">
        <v>2000</v>
      </c>
    </row>
    <row r="580" spans="1:7" s="381" customFormat="1" x14ac:dyDescent="0.25">
      <c r="A580" s="417" t="s">
        <v>106</v>
      </c>
      <c r="B580" s="418" t="s">
        <v>107</v>
      </c>
      <c r="C580" s="380">
        <f t="shared" ref="C580:D580" si="253">SUM(C581)</f>
        <v>0</v>
      </c>
      <c r="D580" s="380">
        <f t="shared" si="253"/>
        <v>0</v>
      </c>
      <c r="E580" s="380">
        <f>SUM(E581)</f>
        <v>17905.43</v>
      </c>
      <c r="F580" s="380">
        <f t="shared" ref="F580:G580" si="254">SUM(F581)</f>
        <v>18005.43</v>
      </c>
      <c r="G580" s="380">
        <f t="shared" si="254"/>
        <v>13200</v>
      </c>
    </row>
    <row r="581" spans="1:7" s="381" customFormat="1" x14ac:dyDescent="0.25">
      <c r="A581" s="419" t="s">
        <v>495</v>
      </c>
      <c r="B581" s="331" t="s">
        <v>107</v>
      </c>
      <c r="C581" s="403"/>
      <c r="D581" s="403"/>
      <c r="E581" s="403">
        <v>17905.43</v>
      </c>
      <c r="F581" s="403">
        <v>18005.43</v>
      </c>
      <c r="G581" s="403">
        <v>13200</v>
      </c>
    </row>
    <row r="582" spans="1:7" s="381" customFormat="1" x14ac:dyDescent="0.25">
      <c r="A582" s="417" t="s">
        <v>108</v>
      </c>
      <c r="B582" s="418" t="s">
        <v>109</v>
      </c>
      <c r="C582" s="380">
        <f t="shared" ref="C582:D582" si="255">SUM(C583)</f>
        <v>0</v>
      </c>
      <c r="D582" s="380">
        <f t="shared" si="255"/>
        <v>0</v>
      </c>
      <c r="E582" s="380">
        <f>SUM(E583)</f>
        <v>5901.04</v>
      </c>
      <c r="F582" s="380">
        <f t="shared" ref="F582:G582" si="256">SUM(F583)</f>
        <v>5901.04</v>
      </c>
      <c r="G582" s="380">
        <f t="shared" si="256"/>
        <v>4242</v>
      </c>
    </row>
    <row r="583" spans="1:7" x14ac:dyDescent="0.25">
      <c r="A583" s="419" t="s">
        <v>515</v>
      </c>
      <c r="B583" s="331" t="s">
        <v>412</v>
      </c>
      <c r="C583" s="403">
        <v>0</v>
      </c>
      <c r="D583" s="403"/>
      <c r="E583" s="403">
        <v>5901.04</v>
      </c>
      <c r="F583" s="403">
        <v>5901.04</v>
      </c>
      <c r="G583" s="403">
        <v>4242</v>
      </c>
    </row>
    <row r="584" spans="1:7" s="381" customFormat="1" hidden="1" x14ac:dyDescent="0.25">
      <c r="A584" s="417" t="s">
        <v>112</v>
      </c>
      <c r="B584" s="418" t="s">
        <v>113</v>
      </c>
      <c r="C584" s="380">
        <f t="shared" ref="C584:D584" si="257">C585</f>
        <v>0</v>
      </c>
      <c r="D584" s="380">
        <f t="shared" si="257"/>
        <v>0</v>
      </c>
      <c r="E584" s="380">
        <f>E585</f>
        <v>0</v>
      </c>
      <c r="F584" s="380">
        <f t="shared" ref="F584:G584" si="258">F585</f>
        <v>0</v>
      </c>
      <c r="G584" s="380">
        <f t="shared" si="258"/>
        <v>0</v>
      </c>
    </row>
    <row r="585" spans="1:7" hidden="1" x14ac:dyDescent="0.25">
      <c r="A585" s="417" t="s">
        <v>118</v>
      </c>
      <c r="B585" s="418" t="s">
        <v>119</v>
      </c>
      <c r="C585" s="380"/>
      <c r="D585" s="380"/>
      <c r="E585" s="380"/>
      <c r="F585" s="380"/>
      <c r="G585" s="380"/>
    </row>
    <row r="586" spans="1:7" s="381" customFormat="1" x14ac:dyDescent="0.25">
      <c r="A586" s="417" t="s">
        <v>126</v>
      </c>
      <c r="B586" s="418" t="s">
        <v>127</v>
      </c>
      <c r="C586" s="380">
        <f t="shared" ref="C586:D586" si="259">C587+C589</f>
        <v>0</v>
      </c>
      <c r="D586" s="380">
        <f t="shared" si="259"/>
        <v>0</v>
      </c>
      <c r="E586" s="380">
        <f>E587+E589</f>
        <v>2881.68</v>
      </c>
      <c r="F586" s="380">
        <f t="shared" ref="F586:G586" si="260">F587+F589</f>
        <v>2881.68</v>
      </c>
      <c r="G586" s="380">
        <f t="shared" si="260"/>
        <v>1921.5</v>
      </c>
    </row>
    <row r="587" spans="1:7" s="381" customFormat="1" x14ac:dyDescent="0.25">
      <c r="A587" s="417" t="s">
        <v>218</v>
      </c>
      <c r="B587" s="418" t="s">
        <v>138</v>
      </c>
      <c r="C587" s="380">
        <f t="shared" ref="C587:D587" si="261">C588</f>
        <v>0</v>
      </c>
      <c r="D587" s="380">
        <f t="shared" si="261"/>
        <v>0</v>
      </c>
      <c r="E587" s="380">
        <f>E588</f>
        <v>2440.2399999999998</v>
      </c>
      <c r="F587" s="380">
        <f t="shared" ref="F587:G587" si="262">F588</f>
        <v>2440.2399999999998</v>
      </c>
      <c r="G587" s="380">
        <f t="shared" si="262"/>
        <v>1921.5</v>
      </c>
    </row>
    <row r="588" spans="1:7" x14ac:dyDescent="0.25">
      <c r="A588" s="419" t="s">
        <v>518</v>
      </c>
      <c r="B588" s="331" t="s">
        <v>442</v>
      </c>
      <c r="C588" s="403">
        <v>0</v>
      </c>
      <c r="D588" s="403"/>
      <c r="E588" s="403">
        <v>2440.2399999999998</v>
      </c>
      <c r="F588" s="403">
        <v>2440.2399999999998</v>
      </c>
      <c r="G588" s="403">
        <v>1921.5</v>
      </c>
    </row>
    <row r="589" spans="1:7" x14ac:dyDescent="0.25">
      <c r="A589" s="417" t="s">
        <v>141</v>
      </c>
      <c r="B589" s="418" t="s">
        <v>142</v>
      </c>
      <c r="C589" s="380">
        <f t="shared" ref="C589:D589" si="263">C590</f>
        <v>0</v>
      </c>
      <c r="D589" s="380">
        <f t="shared" si="263"/>
        <v>0</v>
      </c>
      <c r="E589" s="380">
        <f>E590</f>
        <v>441.44</v>
      </c>
      <c r="F589" s="380">
        <f t="shared" ref="F589:G589" si="264">F590</f>
        <v>441.44</v>
      </c>
      <c r="G589" s="380">
        <f t="shared" si="264"/>
        <v>0</v>
      </c>
    </row>
    <row r="590" spans="1:7" x14ac:dyDescent="0.25">
      <c r="A590" s="419" t="s">
        <v>519</v>
      </c>
      <c r="B590" s="331" t="s">
        <v>315</v>
      </c>
      <c r="C590" s="403">
        <v>0</v>
      </c>
      <c r="D590" s="403"/>
      <c r="E590" s="403">
        <v>441.44</v>
      </c>
      <c r="F590" s="403">
        <v>441.44</v>
      </c>
      <c r="G590" s="403"/>
    </row>
    <row r="591" spans="1:7" x14ac:dyDescent="0.25">
      <c r="A591" s="445">
        <v>37</v>
      </c>
      <c r="B591" s="446" t="s">
        <v>162</v>
      </c>
      <c r="C591" s="408">
        <f>C592</f>
        <v>0</v>
      </c>
      <c r="D591" s="408">
        <f t="shared" ref="D591:G593" si="265">D592</f>
        <v>0</v>
      </c>
      <c r="E591" s="408">
        <f t="shared" si="265"/>
        <v>3200</v>
      </c>
      <c r="F591" s="408">
        <f t="shared" si="265"/>
        <v>3264</v>
      </c>
      <c r="G591" s="408">
        <f t="shared" si="265"/>
        <v>3329.28</v>
      </c>
    </row>
    <row r="592" spans="1:7" x14ac:dyDescent="0.25">
      <c r="A592" s="417">
        <v>372</v>
      </c>
      <c r="B592" s="418" t="s">
        <v>163</v>
      </c>
      <c r="C592" s="380">
        <f>C593</f>
        <v>0</v>
      </c>
      <c r="D592" s="380">
        <f t="shared" si="265"/>
        <v>0</v>
      </c>
      <c r="E592" s="380">
        <f t="shared" si="265"/>
        <v>3200</v>
      </c>
      <c r="F592" s="380">
        <f t="shared" si="265"/>
        <v>3264</v>
      </c>
      <c r="G592" s="380">
        <f t="shared" si="265"/>
        <v>3329.28</v>
      </c>
    </row>
    <row r="593" spans="1:7" x14ac:dyDescent="0.25">
      <c r="A593" s="417">
        <v>3721</v>
      </c>
      <c r="B593" s="418" t="s">
        <v>164</v>
      </c>
      <c r="C593" s="380">
        <f>C594</f>
        <v>0</v>
      </c>
      <c r="D593" s="380">
        <f t="shared" si="265"/>
        <v>0</v>
      </c>
      <c r="E593" s="380">
        <f t="shared" si="265"/>
        <v>3200</v>
      </c>
      <c r="F593" s="380">
        <f t="shared" si="265"/>
        <v>3264</v>
      </c>
      <c r="G593" s="380">
        <f t="shared" si="265"/>
        <v>3329.28</v>
      </c>
    </row>
    <row r="594" spans="1:7" x14ac:dyDescent="0.25">
      <c r="A594" s="419" t="s">
        <v>648</v>
      </c>
      <c r="B594" s="331" t="s">
        <v>463</v>
      </c>
      <c r="C594" s="403">
        <v>0</v>
      </c>
      <c r="D594" s="403">
        <v>0</v>
      </c>
      <c r="E594" s="403">
        <v>3200</v>
      </c>
      <c r="F594" s="403">
        <v>3264</v>
      </c>
      <c r="G594" s="403">
        <v>3329.28</v>
      </c>
    </row>
    <row r="595" spans="1:7" ht="47.25" x14ac:dyDescent="0.25">
      <c r="A595" s="454" t="s">
        <v>322</v>
      </c>
      <c r="B595" s="455" t="s">
        <v>554</v>
      </c>
      <c r="C595" s="384">
        <f t="shared" ref="C595:G596" si="266">C596</f>
        <v>0</v>
      </c>
      <c r="D595" s="384">
        <f t="shared" si="266"/>
        <v>0</v>
      </c>
      <c r="E595" s="384">
        <f>E596</f>
        <v>14000</v>
      </c>
      <c r="F595" s="384">
        <f>F596</f>
        <v>0</v>
      </c>
      <c r="G595" s="384">
        <f>G596</f>
        <v>0</v>
      </c>
    </row>
    <row r="596" spans="1:7" x14ac:dyDescent="0.25">
      <c r="A596" s="439">
        <v>52</v>
      </c>
      <c r="B596" s="440" t="s">
        <v>682</v>
      </c>
      <c r="C596" s="387">
        <f t="shared" si="266"/>
        <v>0</v>
      </c>
      <c r="D596" s="387">
        <f t="shared" si="266"/>
        <v>0</v>
      </c>
      <c r="E596" s="387">
        <f t="shared" si="266"/>
        <v>14000</v>
      </c>
      <c r="F596" s="387">
        <f t="shared" si="266"/>
        <v>0</v>
      </c>
      <c r="G596" s="387">
        <f t="shared" si="266"/>
        <v>0</v>
      </c>
    </row>
    <row r="597" spans="1:7" x14ac:dyDescent="0.25">
      <c r="A597" s="453" t="s">
        <v>86</v>
      </c>
      <c r="B597" s="456" t="s">
        <v>87</v>
      </c>
      <c r="C597" s="391">
        <f t="shared" ref="C597" si="267">C598+C609</f>
        <v>0</v>
      </c>
      <c r="D597" s="391">
        <f>D598+D609</f>
        <v>0</v>
      </c>
      <c r="E597" s="391">
        <f t="shared" ref="E597:G597" si="268">E598+E609</f>
        <v>14000</v>
      </c>
      <c r="F597" s="391">
        <f t="shared" si="268"/>
        <v>0</v>
      </c>
      <c r="G597" s="391">
        <f t="shared" si="268"/>
        <v>0</v>
      </c>
    </row>
    <row r="598" spans="1:7" x14ac:dyDescent="0.25">
      <c r="A598" s="415">
        <v>31</v>
      </c>
      <c r="B598" s="416" t="s">
        <v>88</v>
      </c>
      <c r="C598" s="408">
        <f t="shared" ref="C598" si="269">C599+C602</f>
        <v>0</v>
      </c>
      <c r="D598" s="408">
        <f t="shared" ref="D598:G598" si="270">D599+D602</f>
        <v>0</v>
      </c>
      <c r="E598" s="408">
        <f t="shared" si="270"/>
        <v>5200</v>
      </c>
      <c r="F598" s="408">
        <f t="shared" si="270"/>
        <v>0</v>
      </c>
      <c r="G598" s="408">
        <f t="shared" si="270"/>
        <v>0</v>
      </c>
    </row>
    <row r="599" spans="1:7" x14ac:dyDescent="0.25">
      <c r="A599" s="417">
        <v>311</v>
      </c>
      <c r="B599" s="418" t="s">
        <v>89</v>
      </c>
      <c r="C599" s="380">
        <f t="shared" ref="C599:G599" si="271">C600</f>
        <v>0</v>
      </c>
      <c r="D599" s="380">
        <f t="shared" si="271"/>
        <v>0</v>
      </c>
      <c r="E599" s="380">
        <f t="shared" si="271"/>
        <v>5200</v>
      </c>
      <c r="F599" s="380">
        <f t="shared" si="271"/>
        <v>0</v>
      </c>
      <c r="G599" s="380">
        <f t="shared" si="271"/>
        <v>0</v>
      </c>
    </row>
    <row r="600" spans="1:7" x14ac:dyDescent="0.25">
      <c r="A600" s="417" t="s">
        <v>524</v>
      </c>
      <c r="B600" s="418" t="s">
        <v>90</v>
      </c>
      <c r="C600" s="380">
        <f t="shared" ref="C600:G600" si="272">SUM(C601)</f>
        <v>0</v>
      </c>
      <c r="D600" s="380">
        <f t="shared" si="272"/>
        <v>0</v>
      </c>
      <c r="E600" s="380">
        <f t="shared" si="272"/>
        <v>5200</v>
      </c>
      <c r="F600" s="380">
        <f t="shared" si="272"/>
        <v>0</v>
      </c>
      <c r="G600" s="380">
        <f t="shared" si="272"/>
        <v>0</v>
      </c>
    </row>
    <row r="601" spans="1:7" x14ac:dyDescent="0.25">
      <c r="A601" s="419" t="s">
        <v>484</v>
      </c>
      <c r="B601" s="331" t="s">
        <v>90</v>
      </c>
      <c r="C601" s="403">
        <v>0</v>
      </c>
      <c r="D601" s="403"/>
      <c r="E601" s="403">
        <v>5200</v>
      </c>
      <c r="F601" s="403"/>
      <c r="G601" s="403"/>
    </row>
    <row r="602" spans="1:7" hidden="1" x14ac:dyDescent="0.25">
      <c r="A602" s="417" t="s">
        <v>97</v>
      </c>
      <c r="B602" s="418" t="s">
        <v>98</v>
      </c>
      <c r="C602" s="380">
        <f t="shared" ref="C602:D602" si="273">C603</f>
        <v>0</v>
      </c>
      <c r="D602" s="380">
        <f t="shared" si="273"/>
        <v>0</v>
      </c>
      <c r="E602" s="380">
        <f>E603</f>
        <v>0</v>
      </c>
      <c r="F602" s="380">
        <f t="shared" ref="F602:G602" si="274">F603</f>
        <v>0</v>
      </c>
      <c r="G602" s="380">
        <f t="shared" si="274"/>
        <v>0</v>
      </c>
    </row>
    <row r="603" spans="1:7" hidden="1" x14ac:dyDescent="0.25">
      <c r="A603" s="417" t="s">
        <v>99</v>
      </c>
      <c r="B603" s="418" t="s">
        <v>98</v>
      </c>
      <c r="C603" s="380">
        <f t="shared" ref="C603:D603" si="275">SUM(C604:C605)</f>
        <v>0</v>
      </c>
      <c r="D603" s="380">
        <f t="shared" si="275"/>
        <v>0</v>
      </c>
      <c r="E603" s="380">
        <f>SUM(E604:E605)</f>
        <v>0</v>
      </c>
      <c r="F603" s="380">
        <f>SUM(F604:F605)</f>
        <v>0</v>
      </c>
      <c r="G603" s="380">
        <f>SUM(G604:G605)</f>
        <v>0</v>
      </c>
    </row>
    <row r="604" spans="1:7" hidden="1" x14ac:dyDescent="0.25">
      <c r="A604" s="419" t="s">
        <v>492</v>
      </c>
      <c r="B604" s="331" t="s">
        <v>406</v>
      </c>
      <c r="C604" s="403">
        <v>0</v>
      </c>
      <c r="D604" s="403">
        <v>0</v>
      </c>
      <c r="E604" s="403">
        <v>0</v>
      </c>
      <c r="F604" s="403">
        <v>0</v>
      </c>
      <c r="G604" s="403">
        <v>0</v>
      </c>
    </row>
    <row r="605" spans="1:7" hidden="1" x14ac:dyDescent="0.25">
      <c r="A605" s="419" t="s">
        <v>493</v>
      </c>
      <c r="B605" s="331" t="s">
        <v>401</v>
      </c>
      <c r="C605" s="403">
        <v>0</v>
      </c>
      <c r="D605" s="403">
        <v>0</v>
      </c>
      <c r="E605" s="403">
        <v>0</v>
      </c>
      <c r="F605" s="403">
        <v>0</v>
      </c>
      <c r="G605" s="403">
        <v>0</v>
      </c>
    </row>
    <row r="606" spans="1:7" hidden="1" x14ac:dyDescent="0.25">
      <c r="A606" s="417" t="s">
        <v>212</v>
      </c>
      <c r="B606" s="418" t="s">
        <v>100</v>
      </c>
      <c r="C606" s="380">
        <f t="shared" ref="C606:D606" si="276">C607</f>
        <v>0</v>
      </c>
      <c r="D606" s="380">
        <f t="shared" si="276"/>
        <v>0</v>
      </c>
      <c r="E606" s="380">
        <f>E607</f>
        <v>0</v>
      </c>
      <c r="F606" s="380">
        <f t="shared" ref="F606:G606" si="277">F607</f>
        <v>0</v>
      </c>
      <c r="G606" s="380">
        <f t="shared" si="277"/>
        <v>0</v>
      </c>
    </row>
    <row r="607" spans="1:7" hidden="1" x14ac:dyDescent="0.25">
      <c r="A607" s="417" t="s">
        <v>213</v>
      </c>
      <c r="B607" s="418" t="s">
        <v>101</v>
      </c>
      <c r="C607" s="380">
        <f t="shared" ref="C607:D607" si="278">SUM(C608)</f>
        <v>0</v>
      </c>
      <c r="D607" s="380">
        <f t="shared" si="278"/>
        <v>0</v>
      </c>
      <c r="E607" s="380">
        <f>SUM(E608)</f>
        <v>0</v>
      </c>
      <c r="F607" s="380">
        <f t="shared" ref="F607:G607" si="279">SUM(F608)</f>
        <v>0</v>
      </c>
      <c r="G607" s="380">
        <f t="shared" si="279"/>
        <v>0</v>
      </c>
    </row>
    <row r="608" spans="1:7" hidden="1" x14ac:dyDescent="0.25">
      <c r="A608" s="419" t="s">
        <v>494</v>
      </c>
      <c r="B608" s="331" t="s">
        <v>101</v>
      </c>
      <c r="C608" s="403">
        <v>0</v>
      </c>
      <c r="D608" s="403">
        <v>0</v>
      </c>
      <c r="E608" s="403">
        <v>0</v>
      </c>
      <c r="F608" s="403">
        <v>0</v>
      </c>
      <c r="G608" s="403">
        <v>0</v>
      </c>
    </row>
    <row r="609" spans="1:7" s="381" customFormat="1" x14ac:dyDescent="0.25">
      <c r="A609" s="445" t="s">
        <v>362</v>
      </c>
      <c r="B609" s="446" t="s">
        <v>102</v>
      </c>
      <c r="C609" s="408">
        <f t="shared" ref="C609" si="280">C610+C619+C625+C632</f>
        <v>0</v>
      </c>
      <c r="D609" s="408">
        <f>D610+D619+D625+D632</f>
        <v>0</v>
      </c>
      <c r="E609" s="408">
        <f t="shared" ref="E609:G609" si="281">E610+E619+E625+E632</f>
        <v>8800</v>
      </c>
      <c r="F609" s="408">
        <f t="shared" si="281"/>
        <v>0</v>
      </c>
      <c r="G609" s="408">
        <f t="shared" si="281"/>
        <v>0</v>
      </c>
    </row>
    <row r="610" spans="1:7" s="381" customFormat="1" x14ac:dyDescent="0.25">
      <c r="A610" s="417" t="s">
        <v>215</v>
      </c>
      <c r="B610" s="418" t="s">
        <v>103</v>
      </c>
      <c r="C610" s="380">
        <f t="shared" ref="C610" si="282">C611+C615+C617</f>
        <v>0</v>
      </c>
      <c r="D610" s="380">
        <f>D611+D615+D617</f>
        <v>0</v>
      </c>
      <c r="E610" s="380">
        <f t="shared" ref="E610:G610" si="283">E611+E615+E617</f>
        <v>3000</v>
      </c>
      <c r="F610" s="380">
        <f t="shared" si="283"/>
        <v>0</v>
      </c>
      <c r="G610" s="380">
        <f t="shared" si="283"/>
        <v>0</v>
      </c>
    </row>
    <row r="611" spans="1:7" s="381" customFormat="1" x14ac:dyDescent="0.25">
      <c r="A611" s="417" t="s">
        <v>104</v>
      </c>
      <c r="B611" s="418" t="s">
        <v>105</v>
      </c>
      <c r="C611" s="380">
        <f t="shared" ref="C611" si="284">C612+C613+C614</f>
        <v>0</v>
      </c>
      <c r="D611" s="380">
        <f>D612+D613+D614</f>
        <v>0</v>
      </c>
      <c r="E611" s="380">
        <f t="shared" ref="E611:G611" si="285">E612+E613+E614</f>
        <v>1600</v>
      </c>
      <c r="F611" s="380">
        <f t="shared" si="285"/>
        <v>0</v>
      </c>
      <c r="G611" s="380">
        <f t="shared" si="285"/>
        <v>0</v>
      </c>
    </row>
    <row r="612" spans="1:7" s="381" customFormat="1" x14ac:dyDescent="0.25">
      <c r="A612" s="419" t="s">
        <v>525</v>
      </c>
      <c r="B612" s="331" t="s">
        <v>407</v>
      </c>
      <c r="C612" s="403">
        <v>0</v>
      </c>
      <c r="D612" s="403"/>
      <c r="E612" s="403">
        <v>600</v>
      </c>
      <c r="F612" s="403">
        <v>0</v>
      </c>
      <c r="G612" s="403">
        <v>0</v>
      </c>
    </row>
    <row r="613" spans="1:7" s="381" customFormat="1" x14ac:dyDescent="0.25">
      <c r="A613" s="419" t="s">
        <v>532</v>
      </c>
      <c r="B613" s="331" t="s">
        <v>409</v>
      </c>
      <c r="C613" s="403"/>
      <c r="D613" s="403"/>
      <c r="E613" s="403">
        <v>600</v>
      </c>
      <c r="F613" s="403"/>
      <c r="G613" s="403"/>
    </row>
    <row r="614" spans="1:7" s="381" customFormat="1" x14ac:dyDescent="0.25">
      <c r="A614" s="419" t="s">
        <v>514</v>
      </c>
      <c r="B614" s="331" t="s">
        <v>410</v>
      </c>
      <c r="C614" s="403"/>
      <c r="D614" s="403"/>
      <c r="E614" s="403">
        <v>400</v>
      </c>
      <c r="F614" s="403"/>
      <c r="G614" s="403"/>
    </row>
    <row r="615" spans="1:7" s="381" customFormat="1" x14ac:dyDescent="0.25">
      <c r="A615" s="417" t="s">
        <v>106</v>
      </c>
      <c r="B615" s="418" t="s">
        <v>107</v>
      </c>
      <c r="C615" s="380">
        <f t="shared" ref="C615:G615" si="286">SUM(C616)</f>
        <v>0</v>
      </c>
      <c r="D615" s="380">
        <f t="shared" si="286"/>
        <v>0</v>
      </c>
      <c r="E615" s="380">
        <f t="shared" si="286"/>
        <v>400</v>
      </c>
      <c r="F615" s="380">
        <f t="shared" si="286"/>
        <v>0</v>
      </c>
      <c r="G615" s="380">
        <f t="shared" si="286"/>
        <v>0</v>
      </c>
    </row>
    <row r="616" spans="1:7" s="381" customFormat="1" x14ac:dyDescent="0.25">
      <c r="A616" s="419" t="s">
        <v>495</v>
      </c>
      <c r="B616" s="331" t="s">
        <v>107</v>
      </c>
      <c r="C616" s="403">
        <v>0</v>
      </c>
      <c r="D616" s="403"/>
      <c r="E616" s="403">
        <v>400</v>
      </c>
      <c r="F616" s="403">
        <v>0</v>
      </c>
      <c r="G616" s="403">
        <v>0</v>
      </c>
    </row>
    <row r="617" spans="1:7" s="381" customFormat="1" x14ac:dyDescent="0.25">
      <c r="A617" s="417" t="s">
        <v>108</v>
      </c>
      <c r="B617" s="418" t="s">
        <v>109</v>
      </c>
      <c r="C617" s="380">
        <f t="shared" ref="C617:G617" si="287">SUM(C618)</f>
        <v>0</v>
      </c>
      <c r="D617" s="380">
        <f t="shared" si="287"/>
        <v>0</v>
      </c>
      <c r="E617" s="380">
        <f t="shared" si="287"/>
        <v>1000</v>
      </c>
      <c r="F617" s="380">
        <f t="shared" si="287"/>
        <v>0</v>
      </c>
      <c r="G617" s="380">
        <f t="shared" si="287"/>
        <v>0</v>
      </c>
    </row>
    <row r="618" spans="1:7" x14ac:dyDescent="0.25">
      <c r="A618" s="419" t="s">
        <v>515</v>
      </c>
      <c r="B618" s="331" t="s">
        <v>412</v>
      </c>
      <c r="C618" s="403">
        <v>0</v>
      </c>
      <c r="D618" s="403"/>
      <c r="E618" s="403">
        <v>1000</v>
      </c>
      <c r="F618" s="403">
        <v>0</v>
      </c>
      <c r="G618" s="403">
        <v>0</v>
      </c>
    </row>
    <row r="619" spans="1:7" s="381" customFormat="1" x14ac:dyDescent="0.25">
      <c r="A619" s="417" t="s">
        <v>112</v>
      </c>
      <c r="B619" s="418" t="s">
        <v>113</v>
      </c>
      <c r="C619" s="380">
        <f t="shared" ref="C619" si="288">C620+C623</f>
        <v>0</v>
      </c>
      <c r="D619" s="380">
        <f>D620+D623</f>
        <v>0</v>
      </c>
      <c r="E619" s="380">
        <f t="shared" ref="E619:G619" si="289">E620+E623</f>
        <v>2500</v>
      </c>
      <c r="F619" s="380">
        <f t="shared" si="289"/>
        <v>0</v>
      </c>
      <c r="G619" s="380">
        <f t="shared" si="289"/>
        <v>0</v>
      </c>
    </row>
    <row r="620" spans="1:7" s="381" customFormat="1" x14ac:dyDescent="0.25">
      <c r="A620" s="417" t="s">
        <v>114</v>
      </c>
      <c r="B620" s="418" t="s">
        <v>115</v>
      </c>
      <c r="C620" s="380">
        <f>C621+C622</f>
        <v>0</v>
      </c>
      <c r="D620" s="380">
        <f t="shared" ref="D620" si="290">D621+D622</f>
        <v>0</v>
      </c>
      <c r="E620" s="380">
        <f t="shared" ref="E620:G620" si="291">E621+E622</f>
        <v>2000</v>
      </c>
      <c r="F620" s="380">
        <f t="shared" si="291"/>
        <v>0</v>
      </c>
      <c r="G620" s="380">
        <f t="shared" si="291"/>
        <v>0</v>
      </c>
    </row>
    <row r="621" spans="1:7" x14ac:dyDescent="0.25">
      <c r="A621" s="419" t="s">
        <v>516</v>
      </c>
      <c r="B621" s="331" t="s">
        <v>414</v>
      </c>
      <c r="C621" s="403"/>
      <c r="D621" s="403"/>
      <c r="E621" s="403">
        <v>800</v>
      </c>
      <c r="F621" s="403"/>
      <c r="G621" s="403"/>
    </row>
    <row r="622" spans="1:7" x14ac:dyDescent="0.25">
      <c r="A622" s="419" t="s">
        <v>538</v>
      </c>
      <c r="B622" s="331" t="s">
        <v>418</v>
      </c>
      <c r="C622" s="403"/>
      <c r="D622" s="403"/>
      <c r="E622" s="403">
        <v>1200</v>
      </c>
      <c r="F622" s="403"/>
      <c r="G622" s="403"/>
    </row>
    <row r="623" spans="1:7" x14ac:dyDescent="0.25">
      <c r="A623" s="417" t="s">
        <v>118</v>
      </c>
      <c r="B623" s="418" t="s">
        <v>119</v>
      </c>
      <c r="C623" s="380">
        <f t="shared" ref="C623:G623" si="292">C624</f>
        <v>0</v>
      </c>
      <c r="D623" s="380">
        <f t="shared" si="292"/>
        <v>0</v>
      </c>
      <c r="E623" s="380">
        <f t="shared" si="292"/>
        <v>500</v>
      </c>
      <c r="F623" s="380">
        <f t="shared" si="292"/>
        <v>0</v>
      </c>
      <c r="G623" s="380">
        <f t="shared" si="292"/>
        <v>0</v>
      </c>
    </row>
    <row r="624" spans="1:7" x14ac:dyDescent="0.25">
      <c r="A624" s="419" t="s">
        <v>503</v>
      </c>
      <c r="B624" s="331" t="s">
        <v>422</v>
      </c>
      <c r="C624" s="403">
        <v>0</v>
      </c>
      <c r="D624" s="403"/>
      <c r="E624" s="403">
        <v>500</v>
      </c>
      <c r="F624" s="403">
        <v>0</v>
      </c>
      <c r="G624" s="403">
        <v>0</v>
      </c>
    </row>
    <row r="625" spans="1:7" s="381" customFormat="1" x14ac:dyDescent="0.25">
      <c r="A625" s="417" t="s">
        <v>126</v>
      </c>
      <c r="B625" s="418" t="s">
        <v>127</v>
      </c>
      <c r="C625" s="380">
        <f t="shared" ref="C625" si="293">C626+C628+C630</f>
        <v>0</v>
      </c>
      <c r="D625" s="380">
        <f>D626+D628+D630</f>
        <v>0</v>
      </c>
      <c r="E625" s="380">
        <f t="shared" ref="E625:G625" si="294">E626+E628+E630</f>
        <v>2300</v>
      </c>
      <c r="F625" s="380">
        <f t="shared" si="294"/>
        <v>0</v>
      </c>
      <c r="G625" s="380">
        <f t="shared" si="294"/>
        <v>0</v>
      </c>
    </row>
    <row r="626" spans="1:7" s="381" customFormat="1" x14ac:dyDescent="0.25">
      <c r="A626" s="417" t="s">
        <v>128</v>
      </c>
      <c r="B626" s="418" t="s">
        <v>589</v>
      </c>
      <c r="C626" s="380">
        <f>C627</f>
        <v>0</v>
      </c>
      <c r="D626" s="380">
        <f>D627</f>
        <v>0</v>
      </c>
      <c r="E626" s="380">
        <f t="shared" ref="E626:G626" si="295">E627</f>
        <v>800</v>
      </c>
      <c r="F626" s="380">
        <f t="shared" si="295"/>
        <v>0</v>
      </c>
      <c r="G626" s="380">
        <f t="shared" si="295"/>
        <v>0</v>
      </c>
    </row>
    <row r="627" spans="1:7" x14ac:dyDescent="0.25">
      <c r="A627" s="419" t="s">
        <v>565</v>
      </c>
      <c r="B627" s="331" t="s">
        <v>566</v>
      </c>
      <c r="C627" s="403"/>
      <c r="D627" s="403"/>
      <c r="E627" s="403">
        <v>800</v>
      </c>
      <c r="F627" s="403"/>
      <c r="G627" s="403"/>
    </row>
    <row r="628" spans="1:7" s="381" customFormat="1" x14ac:dyDescent="0.25">
      <c r="A628" s="417" t="s">
        <v>218</v>
      </c>
      <c r="B628" s="418" t="s">
        <v>138</v>
      </c>
      <c r="C628" s="380">
        <f t="shared" ref="C628:G628" si="296">C629</f>
        <v>0</v>
      </c>
      <c r="D628" s="380">
        <f t="shared" si="296"/>
        <v>0</v>
      </c>
      <c r="E628" s="380">
        <f t="shared" si="296"/>
        <v>1000</v>
      </c>
      <c r="F628" s="380">
        <f t="shared" si="296"/>
        <v>0</v>
      </c>
      <c r="G628" s="380">
        <f t="shared" si="296"/>
        <v>0</v>
      </c>
    </row>
    <row r="629" spans="1:7" x14ac:dyDescent="0.25">
      <c r="A629" s="419" t="s">
        <v>518</v>
      </c>
      <c r="B629" s="331" t="s">
        <v>442</v>
      </c>
      <c r="C629" s="403">
        <v>0</v>
      </c>
      <c r="D629" s="403"/>
      <c r="E629" s="403">
        <v>1000</v>
      </c>
      <c r="F629" s="403">
        <v>0</v>
      </c>
      <c r="G629" s="403">
        <v>0</v>
      </c>
    </row>
    <row r="630" spans="1:7" x14ac:dyDescent="0.25">
      <c r="A630" s="417" t="s">
        <v>141</v>
      </c>
      <c r="B630" s="418" t="s">
        <v>142</v>
      </c>
      <c r="C630" s="380">
        <f t="shared" ref="C630:G630" si="297">C631</f>
        <v>0</v>
      </c>
      <c r="D630" s="380">
        <f t="shared" si="297"/>
        <v>0</v>
      </c>
      <c r="E630" s="380">
        <f t="shared" si="297"/>
        <v>500</v>
      </c>
      <c r="F630" s="380">
        <f t="shared" si="297"/>
        <v>0</v>
      </c>
      <c r="G630" s="380">
        <f t="shared" si="297"/>
        <v>0</v>
      </c>
    </row>
    <row r="631" spans="1:7" x14ac:dyDescent="0.25">
      <c r="A631" s="419" t="s">
        <v>519</v>
      </c>
      <c r="B631" s="331" t="s">
        <v>315</v>
      </c>
      <c r="C631" s="403">
        <v>0</v>
      </c>
      <c r="D631" s="403"/>
      <c r="E631" s="403">
        <v>500</v>
      </c>
      <c r="F631" s="403">
        <v>0</v>
      </c>
      <c r="G631" s="403">
        <v>0</v>
      </c>
    </row>
    <row r="632" spans="1:7" s="381" customFormat="1" x14ac:dyDescent="0.25">
      <c r="A632" s="417" t="s">
        <v>219</v>
      </c>
      <c r="B632" s="418" t="s">
        <v>144</v>
      </c>
      <c r="C632" s="380">
        <f t="shared" ref="C632:C633" si="298">C633</f>
        <v>0</v>
      </c>
      <c r="D632" s="380">
        <f t="shared" ref="D632:G633" si="299">D633</f>
        <v>0</v>
      </c>
      <c r="E632" s="380">
        <f t="shared" si="299"/>
        <v>1000</v>
      </c>
      <c r="F632" s="380">
        <f t="shared" si="299"/>
        <v>0</v>
      </c>
      <c r="G632" s="380">
        <f t="shared" si="299"/>
        <v>0</v>
      </c>
    </row>
    <row r="633" spans="1:7" s="381" customFormat="1" x14ac:dyDescent="0.25">
      <c r="A633" s="417" t="s">
        <v>221</v>
      </c>
      <c r="B633" s="418" t="s">
        <v>148</v>
      </c>
      <c r="C633" s="380">
        <f t="shared" si="298"/>
        <v>0</v>
      </c>
      <c r="D633" s="380">
        <f t="shared" si="299"/>
        <v>0</v>
      </c>
      <c r="E633" s="380">
        <f t="shared" si="299"/>
        <v>1000</v>
      </c>
      <c r="F633" s="380">
        <f t="shared" si="299"/>
        <v>0</v>
      </c>
      <c r="G633" s="380">
        <f t="shared" si="299"/>
        <v>0</v>
      </c>
    </row>
    <row r="634" spans="1:7" x14ac:dyDescent="0.25">
      <c r="A634" s="419" t="s">
        <v>573</v>
      </c>
      <c r="B634" s="331" t="s">
        <v>148</v>
      </c>
      <c r="C634" s="403"/>
      <c r="D634" s="403"/>
      <c r="E634" s="403">
        <v>1000</v>
      </c>
      <c r="F634" s="403"/>
      <c r="G634" s="403"/>
    </row>
    <row r="635" spans="1:7" ht="31.5" x14ac:dyDescent="0.25">
      <c r="A635" s="454" t="s">
        <v>322</v>
      </c>
      <c r="B635" s="455" t="s">
        <v>683</v>
      </c>
      <c r="C635" s="384">
        <f t="shared" ref="C635:D636" si="300">C636</f>
        <v>0</v>
      </c>
      <c r="D635" s="384">
        <f t="shared" si="300"/>
        <v>0</v>
      </c>
      <c r="E635" s="384">
        <f>E636</f>
        <v>156200</v>
      </c>
      <c r="F635" s="384">
        <f t="shared" ref="F635:G636" si="301">F636</f>
        <v>159324</v>
      </c>
      <c r="G635" s="384">
        <f t="shared" si="301"/>
        <v>162510.47999999998</v>
      </c>
    </row>
    <row r="636" spans="1:7" x14ac:dyDescent="0.25">
      <c r="A636" s="439" t="s">
        <v>684</v>
      </c>
      <c r="B636" s="440" t="s">
        <v>685</v>
      </c>
      <c r="C636" s="387">
        <f t="shared" si="300"/>
        <v>0</v>
      </c>
      <c r="D636" s="387">
        <f t="shared" si="300"/>
        <v>0</v>
      </c>
      <c r="E636" s="387">
        <f>E637</f>
        <v>156200</v>
      </c>
      <c r="F636" s="387">
        <f t="shared" si="301"/>
        <v>159324</v>
      </c>
      <c r="G636" s="387">
        <f t="shared" si="301"/>
        <v>162510.47999999998</v>
      </c>
    </row>
    <row r="637" spans="1:7" x14ac:dyDescent="0.25">
      <c r="A637" s="453" t="s">
        <v>86</v>
      </c>
      <c r="B637" s="456" t="s">
        <v>87</v>
      </c>
      <c r="C637" s="391">
        <f>C638+C651</f>
        <v>0</v>
      </c>
      <c r="D637" s="391">
        <f t="shared" ref="D637:G637" si="302">D638+D651</f>
        <v>0</v>
      </c>
      <c r="E637" s="391">
        <f t="shared" si="302"/>
        <v>156200</v>
      </c>
      <c r="F637" s="391">
        <f t="shared" si="302"/>
        <v>159324</v>
      </c>
      <c r="G637" s="391">
        <f t="shared" si="302"/>
        <v>162510.47999999998</v>
      </c>
    </row>
    <row r="638" spans="1:7" x14ac:dyDescent="0.25">
      <c r="A638" s="415">
        <v>31</v>
      </c>
      <c r="B638" s="416" t="s">
        <v>88</v>
      </c>
      <c r="C638" s="408">
        <f>C639+C642+C648</f>
        <v>0</v>
      </c>
      <c r="D638" s="408">
        <f>D639+D642+D648</f>
        <v>0</v>
      </c>
      <c r="E638" s="408">
        <f>E639+E642+E648</f>
        <v>142132.5</v>
      </c>
      <c r="F638" s="408">
        <f>F639+F642+F648</f>
        <v>144975.15</v>
      </c>
      <c r="G638" s="408">
        <f>G639+G642+G648</f>
        <v>147874.65</v>
      </c>
    </row>
    <row r="639" spans="1:7" x14ac:dyDescent="0.25">
      <c r="A639" s="417">
        <v>311</v>
      </c>
      <c r="B639" s="418" t="s">
        <v>89</v>
      </c>
      <c r="C639" s="380">
        <f t="shared" ref="C639:D639" si="303">C640</f>
        <v>0</v>
      </c>
      <c r="D639" s="380">
        <f t="shared" si="303"/>
        <v>0</v>
      </c>
      <c r="E639" s="380">
        <f>E640</f>
        <v>142132.5</v>
      </c>
      <c r="F639" s="380">
        <f t="shared" ref="F639" si="304">F640</f>
        <v>144975.15</v>
      </c>
      <c r="G639" s="380">
        <f t="shared" ref="G639" si="305">G640</f>
        <v>147874.65</v>
      </c>
    </row>
    <row r="640" spans="1:7" x14ac:dyDescent="0.25">
      <c r="A640" s="417" t="s">
        <v>524</v>
      </c>
      <c r="B640" s="418" t="s">
        <v>90</v>
      </c>
      <c r="C640" s="380">
        <f>SUM(C641)</f>
        <v>0</v>
      </c>
      <c r="D640" s="380">
        <f t="shared" ref="D640" si="306">SUM(D641)</f>
        <v>0</v>
      </c>
      <c r="E640" s="380">
        <f>SUM(E641)</f>
        <v>142132.5</v>
      </c>
      <c r="F640" s="380">
        <f t="shared" ref="F640" si="307">SUM(F641)</f>
        <v>144975.15</v>
      </c>
      <c r="G640" s="380">
        <f t="shared" ref="G640" si="308">SUM(G641)</f>
        <v>147874.65</v>
      </c>
    </row>
    <row r="641" spans="1:7" x14ac:dyDescent="0.25">
      <c r="A641" s="419" t="s">
        <v>484</v>
      </c>
      <c r="B641" s="331" t="s">
        <v>90</v>
      </c>
      <c r="C641" s="403">
        <v>0</v>
      </c>
      <c r="D641" s="403"/>
      <c r="E641" s="403">
        <v>142132.5</v>
      </c>
      <c r="F641" s="403">
        <v>144975.15</v>
      </c>
      <c r="G641" s="403">
        <v>147874.65</v>
      </c>
    </row>
    <row r="642" spans="1:7" hidden="1" x14ac:dyDescent="0.25">
      <c r="A642" s="417" t="s">
        <v>97</v>
      </c>
      <c r="B642" s="418" t="s">
        <v>98</v>
      </c>
      <c r="C642" s="380">
        <f t="shared" ref="C642:D642" si="309">C643</f>
        <v>0</v>
      </c>
      <c r="D642" s="380">
        <f t="shared" si="309"/>
        <v>0</v>
      </c>
      <c r="E642" s="380">
        <f>E643</f>
        <v>0</v>
      </c>
      <c r="F642" s="380">
        <f t="shared" ref="F642:G642" si="310">F643</f>
        <v>0</v>
      </c>
      <c r="G642" s="380">
        <f t="shared" si="310"/>
        <v>0</v>
      </c>
    </row>
    <row r="643" spans="1:7" hidden="1" x14ac:dyDescent="0.25">
      <c r="A643" s="417" t="s">
        <v>99</v>
      </c>
      <c r="B643" s="418" t="s">
        <v>98</v>
      </c>
      <c r="C643" s="380">
        <f>SUM(C644:C647)</f>
        <v>0</v>
      </c>
      <c r="D643" s="380">
        <f t="shared" ref="D643" si="311">SUM(D644:D647)</f>
        <v>0</v>
      </c>
      <c r="E643" s="380">
        <f t="shared" ref="E643" si="312">SUM(E644:E647)</f>
        <v>0</v>
      </c>
      <c r="F643" s="380">
        <f t="shared" ref="F643" si="313">SUM(F644:F647)</f>
        <v>0</v>
      </c>
      <c r="G643" s="380">
        <f t="shared" ref="G643" si="314">SUM(G644:G647)</f>
        <v>0</v>
      </c>
    </row>
    <row r="644" spans="1:7" hidden="1" x14ac:dyDescent="0.25">
      <c r="A644" s="419" t="s">
        <v>489</v>
      </c>
      <c r="B644" s="331" t="s">
        <v>404</v>
      </c>
      <c r="C644" s="403"/>
      <c r="D644" s="403"/>
      <c r="E644" s="403"/>
      <c r="F644" s="403"/>
      <c r="G644" s="403"/>
    </row>
    <row r="645" spans="1:7" hidden="1" x14ac:dyDescent="0.25">
      <c r="A645" s="419" t="s">
        <v>492</v>
      </c>
      <c r="B645" s="331" t="s">
        <v>406</v>
      </c>
      <c r="C645" s="403">
        <v>0</v>
      </c>
      <c r="D645" s="403">
        <v>0</v>
      </c>
      <c r="E645" s="403"/>
      <c r="F645" s="403"/>
      <c r="G645" s="403"/>
    </row>
    <row r="646" spans="1:7" hidden="1" x14ac:dyDescent="0.25">
      <c r="A646" s="419" t="s">
        <v>629</v>
      </c>
      <c r="B646" s="331" t="s">
        <v>630</v>
      </c>
      <c r="C646" s="403">
        <v>0</v>
      </c>
      <c r="D646" s="403">
        <v>0</v>
      </c>
      <c r="E646" s="403"/>
      <c r="F646" s="403"/>
      <c r="G646" s="403"/>
    </row>
    <row r="647" spans="1:7" hidden="1" x14ac:dyDescent="0.25">
      <c r="A647" s="419" t="s">
        <v>493</v>
      </c>
      <c r="B647" s="331" t="s">
        <v>401</v>
      </c>
      <c r="C647" s="403">
        <v>0</v>
      </c>
      <c r="D647" s="403">
        <v>0</v>
      </c>
      <c r="E647" s="403">
        <v>0</v>
      </c>
      <c r="F647" s="403">
        <v>0</v>
      </c>
      <c r="G647" s="403">
        <v>0</v>
      </c>
    </row>
    <row r="648" spans="1:7" hidden="1" x14ac:dyDescent="0.25">
      <c r="A648" s="417" t="s">
        <v>212</v>
      </c>
      <c r="B648" s="418" t="s">
        <v>100</v>
      </c>
      <c r="C648" s="380">
        <f t="shared" ref="C648:D648" si="315">C649</f>
        <v>0</v>
      </c>
      <c r="D648" s="380">
        <f t="shared" si="315"/>
        <v>0</v>
      </c>
      <c r="E648" s="380">
        <f>E649</f>
        <v>0</v>
      </c>
      <c r="F648" s="380">
        <f t="shared" ref="F648:G648" si="316">F649</f>
        <v>0</v>
      </c>
      <c r="G648" s="380">
        <f t="shared" si="316"/>
        <v>0</v>
      </c>
    </row>
    <row r="649" spans="1:7" hidden="1" x14ac:dyDescent="0.25">
      <c r="A649" s="417" t="s">
        <v>213</v>
      </c>
      <c r="B649" s="418" t="s">
        <v>101</v>
      </c>
      <c r="C649" s="380">
        <f t="shared" ref="C649:D649" si="317">SUM(C650)</f>
        <v>0</v>
      </c>
      <c r="D649" s="380">
        <f t="shared" si="317"/>
        <v>0</v>
      </c>
      <c r="E649" s="380">
        <f>SUM(E650)</f>
        <v>0</v>
      </c>
      <c r="F649" s="380">
        <f t="shared" ref="F649:G649" si="318">SUM(F650)</f>
        <v>0</v>
      </c>
      <c r="G649" s="380">
        <f t="shared" si="318"/>
        <v>0</v>
      </c>
    </row>
    <row r="650" spans="1:7" hidden="1" x14ac:dyDescent="0.25">
      <c r="A650" s="419" t="s">
        <v>494</v>
      </c>
      <c r="B650" s="331" t="s">
        <v>101</v>
      </c>
      <c r="C650" s="403"/>
      <c r="D650" s="403">
        <v>0</v>
      </c>
      <c r="E650" s="403">
        <v>0</v>
      </c>
      <c r="F650" s="403">
        <v>0</v>
      </c>
      <c r="G650" s="403">
        <v>0</v>
      </c>
    </row>
    <row r="651" spans="1:7" x14ac:dyDescent="0.25">
      <c r="A651" s="445" t="s">
        <v>362</v>
      </c>
      <c r="B651" s="446" t="s">
        <v>102</v>
      </c>
      <c r="C651" s="408">
        <f>C652+C662+C664+C671</f>
        <v>0</v>
      </c>
      <c r="D651" s="408">
        <f t="shared" ref="D651:G651" si="319">D652+D662+D664+D671</f>
        <v>0</v>
      </c>
      <c r="E651" s="408">
        <f t="shared" si="319"/>
        <v>14067.5</v>
      </c>
      <c r="F651" s="408">
        <f t="shared" si="319"/>
        <v>14348.85</v>
      </c>
      <c r="G651" s="408">
        <f t="shared" si="319"/>
        <v>14635.83</v>
      </c>
    </row>
    <row r="652" spans="1:7" x14ac:dyDescent="0.25">
      <c r="A652" s="417" t="s">
        <v>215</v>
      </c>
      <c r="B652" s="418" t="s">
        <v>103</v>
      </c>
      <c r="C652" s="380">
        <f>C653+C657+C659</f>
        <v>0</v>
      </c>
      <c r="D652" s="380">
        <f>D653+D657+D659</f>
        <v>0</v>
      </c>
      <c r="E652" s="380">
        <f>E653+E657+E659</f>
        <v>4406.16</v>
      </c>
      <c r="F652" s="380">
        <f>F653+F657+F659</f>
        <v>4481.8500000000004</v>
      </c>
      <c r="G652" s="380">
        <f>G653+G657+G659</f>
        <v>4557.6499999999996</v>
      </c>
    </row>
    <row r="653" spans="1:7" x14ac:dyDescent="0.25">
      <c r="A653" s="417" t="s">
        <v>104</v>
      </c>
      <c r="B653" s="418" t="s">
        <v>105</v>
      </c>
      <c r="C653" s="380">
        <f>SUM(C654:C656)</f>
        <v>0</v>
      </c>
      <c r="D653" s="380">
        <f t="shared" ref="D653:G653" si="320">SUM(D654:D656)</f>
        <v>0</v>
      </c>
      <c r="E653" s="380">
        <f t="shared" si="320"/>
        <v>2606.16</v>
      </c>
      <c r="F653" s="380">
        <f t="shared" si="320"/>
        <v>2656.16</v>
      </c>
      <c r="G653" s="380">
        <f t="shared" si="320"/>
        <v>2706.96</v>
      </c>
    </row>
    <row r="654" spans="1:7" x14ac:dyDescent="0.25">
      <c r="A654" s="419" t="s">
        <v>525</v>
      </c>
      <c r="B654" s="331" t="s">
        <v>407</v>
      </c>
      <c r="C654" s="403">
        <v>0</v>
      </c>
      <c r="D654" s="403">
        <v>0</v>
      </c>
      <c r="E654" s="403">
        <v>2606.16</v>
      </c>
      <c r="F654" s="403">
        <v>2656.16</v>
      </c>
      <c r="G654" s="403">
        <v>2706.96</v>
      </c>
    </row>
    <row r="655" spans="1:7" hidden="1" x14ac:dyDescent="0.25">
      <c r="A655" s="419" t="s">
        <v>532</v>
      </c>
      <c r="B655" s="331" t="s">
        <v>409</v>
      </c>
      <c r="C655" s="403"/>
      <c r="D655" s="403"/>
      <c r="E655" s="403">
        <v>0</v>
      </c>
      <c r="F655" s="403">
        <v>0</v>
      </c>
      <c r="G655" s="403">
        <v>0</v>
      </c>
    </row>
    <row r="656" spans="1:7" hidden="1" x14ac:dyDescent="0.25">
      <c r="A656" s="419" t="s">
        <v>514</v>
      </c>
      <c r="B656" s="331" t="s">
        <v>410</v>
      </c>
      <c r="C656" s="403"/>
      <c r="D656" s="403"/>
      <c r="E656" s="403">
        <v>0</v>
      </c>
      <c r="F656" s="403">
        <v>0</v>
      </c>
      <c r="G656" s="403">
        <v>0</v>
      </c>
    </row>
    <row r="657" spans="1:7" hidden="1" x14ac:dyDescent="0.25">
      <c r="A657" s="417" t="s">
        <v>106</v>
      </c>
      <c r="B657" s="418" t="s">
        <v>107</v>
      </c>
      <c r="C657" s="380">
        <f t="shared" ref="C657:D657" si="321">SUM(C658)</f>
        <v>0</v>
      </c>
      <c r="D657" s="380">
        <f t="shared" si="321"/>
        <v>0</v>
      </c>
      <c r="E657" s="380">
        <f>SUM(E658)</f>
        <v>0</v>
      </c>
      <c r="F657" s="380">
        <f t="shared" ref="F657:G657" si="322">SUM(F658)</f>
        <v>0</v>
      </c>
      <c r="G657" s="380">
        <f t="shared" si="322"/>
        <v>0</v>
      </c>
    </row>
    <row r="658" spans="1:7" hidden="1" x14ac:dyDescent="0.25">
      <c r="A658" s="419" t="s">
        <v>495</v>
      </c>
      <c r="B658" s="331" t="s">
        <v>107</v>
      </c>
      <c r="C658" s="403">
        <v>0</v>
      </c>
      <c r="D658" s="403">
        <v>0</v>
      </c>
      <c r="E658" s="403">
        <v>0</v>
      </c>
      <c r="F658" s="403">
        <v>0</v>
      </c>
      <c r="G658" s="403">
        <v>0</v>
      </c>
    </row>
    <row r="659" spans="1:7" x14ac:dyDescent="0.25">
      <c r="A659" s="417" t="s">
        <v>108</v>
      </c>
      <c r="B659" s="418" t="s">
        <v>109</v>
      </c>
      <c r="C659" s="380">
        <f>SUM(C660:C661)</f>
        <v>0</v>
      </c>
      <c r="D659" s="380">
        <f t="shared" ref="D659:G659" si="323">SUM(D660:D661)</f>
        <v>0</v>
      </c>
      <c r="E659" s="380">
        <f t="shared" si="323"/>
        <v>1800</v>
      </c>
      <c r="F659" s="380">
        <f t="shared" si="323"/>
        <v>1825.69</v>
      </c>
      <c r="G659" s="380">
        <f t="shared" si="323"/>
        <v>1850.69</v>
      </c>
    </row>
    <row r="660" spans="1:7" x14ac:dyDescent="0.25">
      <c r="A660" s="419" t="s">
        <v>534</v>
      </c>
      <c r="B660" s="331" t="s">
        <v>411</v>
      </c>
      <c r="C660" s="403"/>
      <c r="D660" s="403"/>
      <c r="E660" s="403">
        <v>1800</v>
      </c>
      <c r="F660" s="403">
        <v>1825.69</v>
      </c>
      <c r="G660" s="403">
        <v>1850.69</v>
      </c>
    </row>
    <row r="661" spans="1:7" hidden="1" x14ac:dyDescent="0.25">
      <c r="A661" s="419" t="s">
        <v>515</v>
      </c>
      <c r="B661" s="331" t="s">
        <v>412</v>
      </c>
      <c r="C661" s="403">
        <v>0</v>
      </c>
      <c r="D661" s="403">
        <v>0</v>
      </c>
      <c r="E661" s="403">
        <v>0</v>
      </c>
      <c r="F661" s="403">
        <v>0</v>
      </c>
      <c r="G661" s="403">
        <v>0</v>
      </c>
    </row>
    <row r="662" spans="1:7" hidden="1" x14ac:dyDescent="0.25">
      <c r="A662" s="417" t="s">
        <v>112</v>
      </c>
      <c r="B662" s="418" t="s">
        <v>113</v>
      </c>
      <c r="C662" s="380">
        <f t="shared" ref="C662:D662" si="324">C663</f>
        <v>0</v>
      </c>
      <c r="D662" s="380">
        <f t="shared" si="324"/>
        <v>0</v>
      </c>
      <c r="E662" s="380">
        <f>E663</f>
        <v>0</v>
      </c>
      <c r="F662" s="380">
        <f t="shared" ref="F662:G662" si="325">F663</f>
        <v>0</v>
      </c>
      <c r="G662" s="380">
        <f t="shared" si="325"/>
        <v>0</v>
      </c>
    </row>
    <row r="663" spans="1:7" hidden="1" x14ac:dyDescent="0.25">
      <c r="A663" s="417" t="s">
        <v>118</v>
      </c>
      <c r="B663" s="418" t="s">
        <v>119</v>
      </c>
      <c r="C663" s="380"/>
      <c r="D663" s="380"/>
      <c r="E663" s="380"/>
      <c r="F663" s="380"/>
      <c r="G663" s="380"/>
    </row>
    <row r="664" spans="1:7" x14ac:dyDescent="0.25">
      <c r="A664" s="417" t="s">
        <v>126</v>
      </c>
      <c r="B664" s="418" t="s">
        <v>127</v>
      </c>
      <c r="C664" s="380">
        <f>C665+C667+C669</f>
        <v>0</v>
      </c>
      <c r="D664" s="380">
        <f t="shared" ref="D664:G664" si="326">D665+D667+D669</f>
        <v>0</v>
      </c>
      <c r="E664" s="380">
        <f t="shared" si="326"/>
        <v>7055.18</v>
      </c>
      <c r="F664" s="380">
        <f t="shared" si="326"/>
        <v>7167</v>
      </c>
      <c r="G664" s="380">
        <f t="shared" si="326"/>
        <v>7278.18</v>
      </c>
    </row>
    <row r="665" spans="1:7" x14ac:dyDescent="0.25">
      <c r="A665" s="417" t="s">
        <v>132</v>
      </c>
      <c r="B665" s="418" t="s">
        <v>133</v>
      </c>
      <c r="C665" s="380">
        <f>C666</f>
        <v>0</v>
      </c>
      <c r="D665" s="380">
        <f t="shared" ref="D665:G665" si="327">D666</f>
        <v>0</v>
      </c>
      <c r="E665" s="380">
        <f t="shared" si="327"/>
        <v>2000</v>
      </c>
      <c r="F665" s="380">
        <f t="shared" si="327"/>
        <v>2067</v>
      </c>
      <c r="G665" s="380">
        <f t="shared" si="327"/>
        <v>2134</v>
      </c>
    </row>
    <row r="666" spans="1:7" x14ac:dyDescent="0.25">
      <c r="A666" s="419" t="s">
        <v>634</v>
      </c>
      <c r="B666" s="331" t="s">
        <v>635</v>
      </c>
      <c r="C666" s="403">
        <v>0</v>
      </c>
      <c r="D666" s="403">
        <v>0</v>
      </c>
      <c r="E666" s="403">
        <v>2000</v>
      </c>
      <c r="F666" s="403">
        <v>2067</v>
      </c>
      <c r="G666" s="403">
        <v>2134</v>
      </c>
    </row>
    <row r="667" spans="1:7" hidden="1" x14ac:dyDescent="0.25">
      <c r="A667" s="417" t="s">
        <v>218</v>
      </c>
      <c r="B667" s="418" t="s">
        <v>138</v>
      </c>
      <c r="C667" s="380">
        <f t="shared" ref="C667:D667" si="328">C668</f>
        <v>0</v>
      </c>
      <c r="D667" s="380">
        <f t="shared" si="328"/>
        <v>0</v>
      </c>
      <c r="E667" s="380">
        <f>E668</f>
        <v>0</v>
      </c>
      <c r="F667" s="380">
        <f t="shared" ref="F667:G667" si="329">F668</f>
        <v>0</v>
      </c>
      <c r="G667" s="380">
        <f t="shared" si="329"/>
        <v>0</v>
      </c>
    </row>
    <row r="668" spans="1:7" hidden="1" x14ac:dyDescent="0.25">
      <c r="A668" s="419" t="s">
        <v>518</v>
      </c>
      <c r="B668" s="331" t="s">
        <v>442</v>
      </c>
      <c r="C668" s="403">
        <v>0</v>
      </c>
      <c r="D668" s="403">
        <v>0</v>
      </c>
      <c r="E668" s="403">
        <v>0</v>
      </c>
      <c r="F668" s="403">
        <v>0</v>
      </c>
      <c r="G668" s="403">
        <v>0</v>
      </c>
    </row>
    <row r="669" spans="1:7" x14ac:dyDescent="0.25">
      <c r="A669" s="417" t="s">
        <v>141</v>
      </c>
      <c r="B669" s="418" t="s">
        <v>142</v>
      </c>
      <c r="C669" s="380">
        <f t="shared" ref="C669:D669" si="330">C670</f>
        <v>0</v>
      </c>
      <c r="D669" s="380">
        <f t="shared" si="330"/>
        <v>0</v>
      </c>
      <c r="E669" s="380">
        <f>E670</f>
        <v>5055.18</v>
      </c>
      <c r="F669" s="380">
        <f t="shared" ref="F669:G669" si="331">F670</f>
        <v>5100</v>
      </c>
      <c r="G669" s="380">
        <f t="shared" si="331"/>
        <v>5144.18</v>
      </c>
    </row>
    <row r="670" spans="1:7" x14ac:dyDescent="0.25">
      <c r="A670" s="419" t="s">
        <v>519</v>
      </c>
      <c r="B670" s="331" t="s">
        <v>315</v>
      </c>
      <c r="C670" s="403">
        <v>0</v>
      </c>
      <c r="D670" s="403">
        <v>0</v>
      </c>
      <c r="E670" s="403">
        <v>5055.18</v>
      </c>
      <c r="F670" s="403">
        <v>5100</v>
      </c>
      <c r="G670" s="403">
        <v>5144.18</v>
      </c>
    </row>
    <row r="671" spans="1:7" x14ac:dyDescent="0.25">
      <c r="A671" s="417" t="s">
        <v>583</v>
      </c>
      <c r="B671" s="418" t="s">
        <v>638</v>
      </c>
      <c r="C671" s="380">
        <f>C672</f>
        <v>0</v>
      </c>
      <c r="D671" s="380">
        <f t="shared" ref="D671:G672" si="332">D672</f>
        <v>0</v>
      </c>
      <c r="E671" s="380">
        <f t="shared" si="332"/>
        <v>2606.16</v>
      </c>
      <c r="F671" s="380">
        <f t="shared" si="332"/>
        <v>2700</v>
      </c>
      <c r="G671" s="380">
        <f t="shared" si="332"/>
        <v>2800</v>
      </c>
    </row>
    <row r="672" spans="1:7" x14ac:dyDescent="0.25">
      <c r="A672" s="417" t="s">
        <v>584</v>
      </c>
      <c r="B672" s="418" t="s">
        <v>638</v>
      </c>
      <c r="C672" s="380">
        <f>C673</f>
        <v>0</v>
      </c>
      <c r="D672" s="380">
        <f t="shared" si="332"/>
        <v>0</v>
      </c>
      <c r="E672" s="380">
        <f t="shared" si="332"/>
        <v>2606.16</v>
      </c>
      <c r="F672" s="380">
        <f t="shared" si="332"/>
        <v>2700</v>
      </c>
      <c r="G672" s="380">
        <f t="shared" si="332"/>
        <v>2800</v>
      </c>
    </row>
    <row r="673" spans="1:7" x14ac:dyDescent="0.25">
      <c r="A673" s="419" t="s">
        <v>586</v>
      </c>
      <c r="B673" s="331" t="s">
        <v>649</v>
      </c>
      <c r="C673" s="403"/>
      <c r="D673" s="403"/>
      <c r="E673" s="403">
        <v>2606.16</v>
      </c>
      <c r="F673" s="403">
        <v>2700</v>
      </c>
      <c r="G673" s="403">
        <v>2800</v>
      </c>
    </row>
    <row r="674" spans="1:7" ht="47.25" hidden="1" x14ac:dyDescent="0.25">
      <c r="A674" s="454" t="s">
        <v>322</v>
      </c>
      <c r="B674" s="455" t="s">
        <v>555</v>
      </c>
      <c r="C674" s="384">
        <f t="shared" ref="C674:D674" si="333">C675</f>
        <v>0</v>
      </c>
      <c r="D674" s="384">
        <f t="shared" si="333"/>
        <v>0</v>
      </c>
      <c r="E674" s="384">
        <f>E675</f>
        <v>0</v>
      </c>
      <c r="F674" s="384">
        <f t="shared" ref="F674:G674" si="334">F675</f>
        <v>0</v>
      </c>
      <c r="G674" s="384">
        <f t="shared" si="334"/>
        <v>0</v>
      </c>
    </row>
    <row r="675" spans="1:7" hidden="1" x14ac:dyDescent="0.25">
      <c r="A675" s="439" t="s">
        <v>72</v>
      </c>
      <c r="B675" s="440" t="s">
        <v>73</v>
      </c>
      <c r="C675" s="387">
        <f t="shared" ref="C675:D675" si="335">C676+C701</f>
        <v>0</v>
      </c>
      <c r="D675" s="387">
        <f t="shared" si="335"/>
        <v>0</v>
      </c>
      <c r="E675" s="387">
        <f>E676+E701</f>
        <v>0</v>
      </c>
      <c r="F675" s="387">
        <f t="shared" ref="F675:G675" si="336">F676+F701</f>
        <v>0</v>
      </c>
      <c r="G675" s="387">
        <f t="shared" si="336"/>
        <v>0</v>
      </c>
    </row>
    <row r="676" spans="1:7" hidden="1" x14ac:dyDescent="0.25">
      <c r="A676" s="453" t="s">
        <v>86</v>
      </c>
      <c r="B676" s="456" t="s">
        <v>87</v>
      </c>
      <c r="C676" s="391">
        <f t="shared" ref="C676:D676" si="337">C677+C683</f>
        <v>0</v>
      </c>
      <c r="D676" s="391">
        <f t="shared" si="337"/>
        <v>0</v>
      </c>
      <c r="E676" s="391">
        <f>E677+E683</f>
        <v>0</v>
      </c>
      <c r="F676" s="391">
        <f t="shared" ref="F676:G676" si="338">F677</f>
        <v>0</v>
      </c>
      <c r="G676" s="391">
        <f t="shared" si="338"/>
        <v>0</v>
      </c>
    </row>
    <row r="677" spans="1:7" hidden="1" x14ac:dyDescent="0.25">
      <c r="A677" s="415">
        <v>31</v>
      </c>
      <c r="B677" s="416" t="s">
        <v>88</v>
      </c>
      <c r="C677" s="408">
        <f t="shared" ref="C677:D677" si="339">C678+C681</f>
        <v>0</v>
      </c>
      <c r="D677" s="408">
        <f t="shared" si="339"/>
        <v>0</v>
      </c>
      <c r="E677" s="408">
        <f>E678+E681</f>
        <v>0</v>
      </c>
      <c r="F677" s="408">
        <f t="shared" ref="F677:G677" si="340">F678+F681</f>
        <v>0</v>
      </c>
      <c r="G677" s="408">
        <f t="shared" si="340"/>
        <v>0</v>
      </c>
    </row>
    <row r="678" spans="1:7" s="381" customFormat="1" hidden="1" x14ac:dyDescent="0.25">
      <c r="A678" s="417">
        <v>311</v>
      </c>
      <c r="B678" s="418" t="s">
        <v>89</v>
      </c>
      <c r="C678" s="380">
        <f t="shared" ref="C678:D678" si="341">C679+C680</f>
        <v>0</v>
      </c>
      <c r="D678" s="380">
        <f t="shared" si="341"/>
        <v>0</v>
      </c>
      <c r="E678" s="380">
        <f>E679+E680</f>
        <v>0</v>
      </c>
      <c r="F678" s="380">
        <f t="shared" ref="F678:G678" si="342">F679+F680</f>
        <v>0</v>
      </c>
      <c r="G678" s="380">
        <f t="shared" si="342"/>
        <v>0</v>
      </c>
    </row>
    <row r="679" spans="1:7" hidden="1" x14ac:dyDescent="0.25">
      <c r="A679" s="419">
        <v>3111</v>
      </c>
      <c r="B679" s="331" t="s">
        <v>90</v>
      </c>
      <c r="C679" s="403"/>
      <c r="D679" s="403"/>
      <c r="E679" s="403"/>
      <c r="F679" s="403"/>
      <c r="G679" s="403"/>
    </row>
    <row r="680" spans="1:7" hidden="1" x14ac:dyDescent="0.25">
      <c r="A680" s="419" t="s">
        <v>93</v>
      </c>
      <c r="B680" s="331" t="s">
        <v>94</v>
      </c>
      <c r="C680" s="403"/>
      <c r="D680" s="403"/>
      <c r="E680" s="403"/>
      <c r="F680" s="403"/>
      <c r="G680" s="403"/>
    </row>
    <row r="681" spans="1:7" s="381" customFormat="1" hidden="1" x14ac:dyDescent="0.25">
      <c r="A681" s="422">
        <v>313</v>
      </c>
      <c r="B681" s="418" t="s">
        <v>100</v>
      </c>
      <c r="C681" s="380">
        <f t="shared" ref="C681:D681" si="343">C682</f>
        <v>0</v>
      </c>
      <c r="D681" s="380">
        <f t="shared" si="343"/>
        <v>0</v>
      </c>
      <c r="E681" s="380">
        <f>E682</f>
        <v>0</v>
      </c>
      <c r="F681" s="380">
        <f t="shared" ref="F681:G681" si="344">F682</f>
        <v>0</v>
      </c>
      <c r="G681" s="380">
        <f t="shared" si="344"/>
        <v>0</v>
      </c>
    </row>
    <row r="682" spans="1:7" hidden="1" x14ac:dyDescent="0.25">
      <c r="A682" s="423">
        <v>3132</v>
      </c>
      <c r="B682" s="331" t="s">
        <v>101</v>
      </c>
      <c r="C682" s="403"/>
      <c r="D682" s="403"/>
      <c r="E682" s="403"/>
      <c r="F682" s="403"/>
      <c r="G682" s="403"/>
    </row>
    <row r="683" spans="1:7" s="381" customFormat="1" hidden="1" x14ac:dyDescent="0.25">
      <c r="A683" s="415">
        <v>32</v>
      </c>
      <c r="B683" s="416" t="s">
        <v>102</v>
      </c>
      <c r="C683" s="408">
        <f t="shared" ref="C683:D683" si="345">C684+C686+C692</f>
        <v>0</v>
      </c>
      <c r="D683" s="408">
        <f t="shared" si="345"/>
        <v>0</v>
      </c>
      <c r="E683" s="408">
        <f>E684+E686+E692</f>
        <v>0</v>
      </c>
      <c r="F683" s="408">
        <f t="shared" ref="F683:G683" si="346">F684+F686+F692</f>
        <v>0</v>
      </c>
      <c r="G683" s="408">
        <f t="shared" si="346"/>
        <v>0</v>
      </c>
    </row>
    <row r="684" spans="1:7" s="381" customFormat="1" hidden="1" x14ac:dyDescent="0.25">
      <c r="A684" s="417">
        <v>321</v>
      </c>
      <c r="B684" s="418" t="s">
        <v>103</v>
      </c>
      <c r="C684" s="380">
        <f t="shared" ref="C684:D684" si="347">C685</f>
        <v>0</v>
      </c>
      <c r="D684" s="380">
        <f t="shared" si="347"/>
        <v>0</v>
      </c>
      <c r="E684" s="380">
        <f>E685</f>
        <v>0</v>
      </c>
      <c r="F684" s="380">
        <f t="shared" ref="F684:G684" si="348">F685</f>
        <v>0</v>
      </c>
      <c r="G684" s="380">
        <f t="shared" si="348"/>
        <v>0</v>
      </c>
    </row>
    <row r="685" spans="1:7" hidden="1" x14ac:dyDescent="0.25">
      <c r="A685" s="417" t="s">
        <v>106</v>
      </c>
      <c r="B685" s="418" t="s">
        <v>107</v>
      </c>
      <c r="C685" s="380"/>
      <c r="D685" s="380"/>
      <c r="E685" s="380"/>
      <c r="F685" s="380"/>
      <c r="G685" s="380"/>
    </row>
    <row r="686" spans="1:7" s="381" customFormat="1" hidden="1" x14ac:dyDescent="0.25">
      <c r="A686" s="417" t="s">
        <v>112</v>
      </c>
      <c r="B686" s="418" t="s">
        <v>113</v>
      </c>
      <c r="C686" s="380">
        <f t="shared" ref="C686:D686" si="349">C687+C688+C689+C691</f>
        <v>0</v>
      </c>
      <c r="D686" s="380">
        <f t="shared" si="349"/>
        <v>0</v>
      </c>
      <c r="E686" s="380">
        <f>E687+E688+E689+E691</f>
        <v>0</v>
      </c>
      <c r="F686" s="380">
        <f t="shared" ref="F686:G686" si="350">SUM(F687:F691)</f>
        <v>0</v>
      </c>
      <c r="G686" s="380">
        <f t="shared" si="350"/>
        <v>0</v>
      </c>
    </row>
    <row r="687" spans="1:7" hidden="1" x14ac:dyDescent="0.25">
      <c r="A687" s="417" t="s">
        <v>114</v>
      </c>
      <c r="B687" s="458" t="s">
        <v>115</v>
      </c>
      <c r="C687" s="380"/>
      <c r="D687" s="380"/>
      <c r="E687" s="380"/>
      <c r="F687" s="380"/>
      <c r="G687" s="380"/>
    </row>
    <row r="688" spans="1:7" hidden="1" x14ac:dyDescent="0.25">
      <c r="A688" s="417" t="s">
        <v>116</v>
      </c>
      <c r="B688" s="458" t="s">
        <v>117</v>
      </c>
      <c r="C688" s="380"/>
      <c r="D688" s="380"/>
      <c r="E688" s="380"/>
      <c r="F688" s="380"/>
      <c r="G688" s="380"/>
    </row>
    <row r="689" spans="1:7" hidden="1" x14ac:dyDescent="0.25">
      <c r="A689" s="417" t="s">
        <v>120</v>
      </c>
      <c r="B689" s="418" t="s">
        <v>330</v>
      </c>
      <c r="C689" s="380">
        <f t="shared" ref="C689:D689" si="351">C690</f>
        <v>0</v>
      </c>
      <c r="D689" s="380">
        <f t="shared" si="351"/>
        <v>0</v>
      </c>
      <c r="E689" s="380">
        <f>E690</f>
        <v>0</v>
      </c>
      <c r="F689" s="380">
        <f t="shared" ref="F689:G689" si="352">F690</f>
        <v>0</v>
      </c>
      <c r="G689" s="380">
        <f t="shared" si="352"/>
        <v>0</v>
      </c>
    </row>
    <row r="690" spans="1:7" hidden="1" x14ac:dyDescent="0.25">
      <c r="A690" s="419">
        <v>32241</v>
      </c>
      <c r="B690" s="331" t="s">
        <v>426</v>
      </c>
      <c r="C690" s="403">
        <v>0</v>
      </c>
      <c r="D690" s="403"/>
      <c r="E690" s="403">
        <v>0</v>
      </c>
      <c r="F690" s="403"/>
      <c r="G690" s="403"/>
    </row>
    <row r="691" spans="1:7" hidden="1" x14ac:dyDescent="0.25">
      <c r="A691" s="417" t="s">
        <v>124</v>
      </c>
      <c r="B691" s="418" t="s">
        <v>125</v>
      </c>
      <c r="C691" s="380"/>
      <c r="D691" s="380"/>
      <c r="E691" s="380"/>
      <c r="F691" s="380"/>
      <c r="G691" s="380"/>
    </row>
    <row r="692" spans="1:7" s="381" customFormat="1" hidden="1" x14ac:dyDescent="0.25">
      <c r="A692" s="417" t="s">
        <v>126</v>
      </c>
      <c r="B692" s="333" t="s">
        <v>127</v>
      </c>
      <c r="C692" s="380">
        <f>C693+C694+C696+C697</f>
        <v>0</v>
      </c>
      <c r="D692" s="380">
        <f>D693+D694+D696+D697</f>
        <v>0</v>
      </c>
      <c r="E692" s="380">
        <f>E693+E694+E696+E697</f>
        <v>0</v>
      </c>
      <c r="F692" s="380">
        <f t="shared" ref="F692:G692" si="353">F693+F694+F696+F697</f>
        <v>0</v>
      </c>
      <c r="G692" s="380">
        <f t="shared" si="353"/>
        <v>0</v>
      </c>
    </row>
    <row r="693" spans="1:7" hidden="1" x14ac:dyDescent="0.25">
      <c r="A693" s="417" t="s">
        <v>128</v>
      </c>
      <c r="B693" s="333" t="s">
        <v>129</v>
      </c>
      <c r="C693" s="403">
        <v>0</v>
      </c>
      <c r="D693" s="403">
        <v>0</v>
      </c>
      <c r="E693" s="403">
        <v>0</v>
      </c>
      <c r="F693" s="403">
        <v>0</v>
      </c>
      <c r="G693" s="403">
        <v>0</v>
      </c>
    </row>
    <row r="694" spans="1:7" hidden="1" x14ac:dyDescent="0.25">
      <c r="A694" s="417" t="s">
        <v>130</v>
      </c>
      <c r="B694" s="333" t="s">
        <v>131</v>
      </c>
      <c r="C694" s="380">
        <f t="shared" ref="C694:D694" si="354">C695</f>
        <v>0</v>
      </c>
      <c r="D694" s="380">
        <f t="shared" si="354"/>
        <v>0</v>
      </c>
      <c r="E694" s="380">
        <f>E695</f>
        <v>0</v>
      </c>
      <c r="F694" s="380">
        <f t="shared" ref="F694:G694" si="355">F695</f>
        <v>0</v>
      </c>
      <c r="G694" s="380">
        <f t="shared" si="355"/>
        <v>0</v>
      </c>
    </row>
    <row r="695" spans="1:7" hidden="1" x14ac:dyDescent="0.25">
      <c r="A695" s="419">
        <v>32321</v>
      </c>
      <c r="B695" s="332" t="s">
        <v>433</v>
      </c>
      <c r="C695" s="403">
        <v>0</v>
      </c>
      <c r="D695" s="403"/>
      <c r="E695" s="403">
        <v>0</v>
      </c>
      <c r="F695" s="403"/>
      <c r="G695" s="403"/>
    </row>
    <row r="696" spans="1:7" hidden="1" x14ac:dyDescent="0.25">
      <c r="A696" s="417" t="s">
        <v>134</v>
      </c>
      <c r="B696" s="418" t="s">
        <v>135</v>
      </c>
      <c r="C696" s="403"/>
      <c r="D696" s="403"/>
      <c r="E696" s="403"/>
      <c r="F696" s="403"/>
      <c r="G696" s="403"/>
    </row>
    <row r="697" spans="1:7" hidden="1" x14ac:dyDescent="0.25">
      <c r="A697" s="417" t="s">
        <v>217</v>
      </c>
      <c r="B697" s="418" t="s">
        <v>137</v>
      </c>
      <c r="C697" s="403"/>
      <c r="D697" s="403"/>
      <c r="E697" s="403"/>
      <c r="F697" s="403"/>
      <c r="G697" s="403"/>
    </row>
    <row r="698" spans="1:7" s="381" customFormat="1" hidden="1" x14ac:dyDescent="0.25">
      <c r="A698" s="445" t="s">
        <v>364</v>
      </c>
      <c r="B698" s="446" t="s">
        <v>302</v>
      </c>
      <c r="C698" s="408">
        <f t="shared" ref="C698:G699" si="356">C699</f>
        <v>0</v>
      </c>
      <c r="D698" s="408">
        <f t="shared" si="356"/>
        <v>0</v>
      </c>
      <c r="E698" s="408">
        <f t="shared" si="356"/>
        <v>0</v>
      </c>
      <c r="F698" s="408">
        <f t="shared" si="356"/>
        <v>0</v>
      </c>
      <c r="G698" s="408">
        <f t="shared" si="356"/>
        <v>0</v>
      </c>
    </row>
    <row r="699" spans="1:7" s="381" customFormat="1" hidden="1" x14ac:dyDescent="0.25">
      <c r="A699" s="417" t="s">
        <v>365</v>
      </c>
      <c r="B699" s="418" t="s">
        <v>154</v>
      </c>
      <c r="C699" s="380">
        <f t="shared" si="356"/>
        <v>0</v>
      </c>
      <c r="D699" s="380">
        <f t="shared" si="356"/>
        <v>0</v>
      </c>
      <c r="E699" s="380">
        <f t="shared" si="356"/>
        <v>0</v>
      </c>
      <c r="F699" s="380">
        <f t="shared" si="356"/>
        <v>0</v>
      </c>
      <c r="G699" s="380">
        <f t="shared" si="356"/>
        <v>0</v>
      </c>
    </row>
    <row r="700" spans="1:7" hidden="1" x14ac:dyDescent="0.25">
      <c r="A700" s="419" t="s">
        <v>366</v>
      </c>
      <c r="B700" s="331" t="s">
        <v>367</v>
      </c>
      <c r="C700" s="403"/>
      <c r="D700" s="403"/>
      <c r="E700" s="403"/>
      <c r="F700" s="403"/>
      <c r="G700" s="403"/>
    </row>
    <row r="701" spans="1:7" hidden="1" x14ac:dyDescent="0.25">
      <c r="A701" s="389">
        <v>4</v>
      </c>
      <c r="B701" s="390" t="s">
        <v>174</v>
      </c>
      <c r="C701" s="391">
        <f>SUM(C702,C713)</f>
        <v>0</v>
      </c>
      <c r="D701" s="391">
        <f>SUM(D702,D713)</f>
        <v>0</v>
      </c>
      <c r="E701" s="391">
        <f>SUM(E702,E713)</f>
        <v>0</v>
      </c>
      <c r="F701" s="391">
        <f>SUM(F702,F713)</f>
        <v>0</v>
      </c>
      <c r="G701" s="391">
        <f>SUM(G702,G713)</f>
        <v>0</v>
      </c>
    </row>
    <row r="702" spans="1:7" hidden="1" x14ac:dyDescent="0.25">
      <c r="A702" s="430">
        <v>42</v>
      </c>
      <c r="B702" s="457" t="s">
        <v>361</v>
      </c>
      <c r="C702" s="408">
        <f t="shared" ref="C702:D702" si="357">C703</f>
        <v>0</v>
      </c>
      <c r="D702" s="408">
        <f t="shared" si="357"/>
        <v>0</v>
      </c>
      <c r="E702" s="408">
        <f>E703</f>
        <v>0</v>
      </c>
      <c r="F702" s="408">
        <f t="shared" ref="F702:G702" si="358">F703</f>
        <v>0</v>
      </c>
      <c r="G702" s="408">
        <f t="shared" si="358"/>
        <v>0</v>
      </c>
    </row>
    <row r="703" spans="1:7" hidden="1" x14ac:dyDescent="0.25">
      <c r="A703" s="340">
        <v>422</v>
      </c>
      <c r="B703" s="433" t="s">
        <v>184</v>
      </c>
      <c r="C703" s="380">
        <f t="shared" ref="C703:D703" si="359">C704+C707+C709+C711</f>
        <v>0</v>
      </c>
      <c r="D703" s="380">
        <f t="shared" si="359"/>
        <v>0</v>
      </c>
      <c r="E703" s="380">
        <f>E704+E707+E709+E711</f>
        <v>0</v>
      </c>
      <c r="F703" s="380">
        <f t="shared" ref="F703" si="360">F704+F707+F709+F711</f>
        <v>0</v>
      </c>
      <c r="G703" s="380">
        <f t="shared" ref="G703" si="361">G704+G707+G709+G711</f>
        <v>0</v>
      </c>
    </row>
    <row r="704" spans="1:7" hidden="1" x14ac:dyDescent="0.25">
      <c r="A704" s="340">
        <v>4221</v>
      </c>
      <c r="B704" s="433" t="s">
        <v>186</v>
      </c>
      <c r="C704" s="380">
        <f t="shared" ref="C704:D704" si="362">SUM(C705:C706)</f>
        <v>0</v>
      </c>
      <c r="D704" s="380">
        <f t="shared" si="362"/>
        <v>0</v>
      </c>
      <c r="E704" s="380">
        <f>SUM(E705:E706)</f>
        <v>0</v>
      </c>
      <c r="F704" s="380">
        <f t="shared" ref="F704:G704" si="363">SUM(F705:F706)</f>
        <v>0</v>
      </c>
      <c r="G704" s="380">
        <f t="shared" si="363"/>
        <v>0</v>
      </c>
    </row>
    <row r="705" spans="1:7" hidden="1" x14ac:dyDescent="0.25">
      <c r="A705" s="337">
        <v>42211</v>
      </c>
      <c r="B705" s="442" t="s">
        <v>464</v>
      </c>
      <c r="C705" s="403">
        <v>0</v>
      </c>
      <c r="D705" s="403">
        <v>0</v>
      </c>
      <c r="E705" s="403">
        <v>0</v>
      </c>
      <c r="F705" s="403">
        <v>0</v>
      </c>
      <c r="G705" s="403">
        <v>0</v>
      </c>
    </row>
    <row r="706" spans="1:7" hidden="1" x14ac:dyDescent="0.25">
      <c r="A706" s="337">
        <v>42212</v>
      </c>
      <c r="B706" s="442" t="s">
        <v>465</v>
      </c>
      <c r="C706" s="403">
        <v>0</v>
      </c>
      <c r="D706" s="403">
        <v>0</v>
      </c>
      <c r="E706" s="403">
        <v>0</v>
      </c>
      <c r="F706" s="403">
        <v>0</v>
      </c>
      <c r="G706" s="403">
        <v>0</v>
      </c>
    </row>
    <row r="707" spans="1:7" hidden="1" x14ac:dyDescent="0.25">
      <c r="A707" s="340">
        <v>4223</v>
      </c>
      <c r="B707" s="433" t="s">
        <v>189</v>
      </c>
      <c r="C707" s="380">
        <f t="shared" ref="C707:D707" si="364">C708</f>
        <v>0</v>
      </c>
      <c r="D707" s="380">
        <f t="shared" si="364"/>
        <v>0</v>
      </c>
      <c r="E707" s="380">
        <f>E708</f>
        <v>0</v>
      </c>
      <c r="F707" s="380">
        <f t="shared" ref="F707" si="365">F708</f>
        <v>0</v>
      </c>
      <c r="G707" s="380">
        <f t="shared" ref="G707" si="366">G708</f>
        <v>0</v>
      </c>
    </row>
    <row r="708" spans="1:7" hidden="1" x14ac:dyDescent="0.25">
      <c r="A708" s="337">
        <v>42231</v>
      </c>
      <c r="B708" s="442" t="s">
        <v>468</v>
      </c>
      <c r="C708" s="403">
        <v>0</v>
      </c>
      <c r="D708" s="403">
        <v>0</v>
      </c>
      <c r="E708" s="403">
        <v>0</v>
      </c>
      <c r="F708" s="403"/>
      <c r="G708" s="403"/>
    </row>
    <row r="709" spans="1:7" hidden="1" x14ac:dyDescent="0.25">
      <c r="A709" s="340">
        <v>4224</v>
      </c>
      <c r="B709" s="433" t="s">
        <v>190</v>
      </c>
      <c r="C709" s="380">
        <f t="shared" ref="C709:D709" si="367">SUM(C710)</f>
        <v>0</v>
      </c>
      <c r="D709" s="380">
        <f t="shared" si="367"/>
        <v>0</v>
      </c>
      <c r="E709" s="380">
        <f>SUM(E710)</f>
        <v>0</v>
      </c>
      <c r="F709" s="380">
        <f t="shared" ref="F709:G709" si="368">SUM(F710)</f>
        <v>0</v>
      </c>
      <c r="G709" s="380">
        <f t="shared" si="368"/>
        <v>0</v>
      </c>
    </row>
    <row r="710" spans="1:7" hidden="1" x14ac:dyDescent="0.25">
      <c r="A710" s="337">
        <v>42241</v>
      </c>
      <c r="B710" s="442" t="s">
        <v>469</v>
      </c>
      <c r="C710" s="403">
        <v>0</v>
      </c>
      <c r="D710" s="403">
        <v>0</v>
      </c>
      <c r="E710" s="403">
        <v>0</v>
      </c>
      <c r="F710" s="403">
        <v>0</v>
      </c>
      <c r="G710" s="403">
        <v>0</v>
      </c>
    </row>
    <row r="711" spans="1:7" hidden="1" x14ac:dyDescent="0.25">
      <c r="A711" s="340">
        <v>4225</v>
      </c>
      <c r="B711" s="433" t="s">
        <v>191</v>
      </c>
      <c r="C711" s="380">
        <f t="shared" ref="C711:D711" si="369">SUM(C712)</f>
        <v>0</v>
      </c>
      <c r="D711" s="380">
        <f t="shared" si="369"/>
        <v>0</v>
      </c>
      <c r="E711" s="380">
        <f>SUM(E712)</f>
        <v>0</v>
      </c>
      <c r="F711" s="380">
        <f t="shared" ref="F711:G711" si="370">SUM(F712)</f>
        <v>0</v>
      </c>
      <c r="G711" s="380">
        <f t="shared" si="370"/>
        <v>0</v>
      </c>
    </row>
    <row r="712" spans="1:7" hidden="1" x14ac:dyDescent="0.25">
      <c r="A712" s="337">
        <v>42259</v>
      </c>
      <c r="B712" s="442" t="s">
        <v>568</v>
      </c>
      <c r="C712" s="403">
        <v>0</v>
      </c>
      <c r="D712" s="403">
        <v>0</v>
      </c>
      <c r="E712" s="403">
        <v>0</v>
      </c>
      <c r="F712" s="403">
        <v>0</v>
      </c>
      <c r="G712" s="403">
        <v>0</v>
      </c>
    </row>
    <row r="713" spans="1:7" hidden="1" x14ac:dyDescent="0.25">
      <c r="A713" s="415" t="s">
        <v>196</v>
      </c>
      <c r="B713" s="434" t="s">
        <v>199</v>
      </c>
      <c r="C713" s="408">
        <f t="shared" ref="C713:D715" si="371">SUM(C714)</f>
        <v>0</v>
      </c>
      <c r="D713" s="408">
        <f t="shared" si="371"/>
        <v>0</v>
      </c>
      <c r="E713" s="408">
        <f>SUM(E714)</f>
        <v>0</v>
      </c>
      <c r="F713" s="408">
        <f>SUM(F714)</f>
        <v>0</v>
      </c>
      <c r="G713" s="408">
        <f t="shared" ref="F713:G715" si="372">SUM(G714)</f>
        <v>0</v>
      </c>
    </row>
    <row r="714" spans="1:7" hidden="1" x14ac:dyDescent="0.25">
      <c r="A714" s="417" t="s">
        <v>198</v>
      </c>
      <c r="B714" s="418" t="s">
        <v>207</v>
      </c>
      <c r="C714" s="380">
        <f t="shared" si="371"/>
        <v>0</v>
      </c>
      <c r="D714" s="380">
        <f t="shared" si="371"/>
        <v>0</v>
      </c>
      <c r="E714" s="380">
        <f>SUM(E715)</f>
        <v>0</v>
      </c>
      <c r="F714" s="380">
        <f t="shared" si="372"/>
        <v>0</v>
      </c>
      <c r="G714" s="380">
        <f t="shared" si="372"/>
        <v>0</v>
      </c>
    </row>
    <row r="715" spans="1:7" hidden="1" x14ac:dyDescent="0.25">
      <c r="A715" s="417" t="s">
        <v>200</v>
      </c>
      <c r="B715" s="418" t="s">
        <v>199</v>
      </c>
      <c r="C715" s="380">
        <f t="shared" si="371"/>
        <v>0</v>
      </c>
      <c r="D715" s="380">
        <f t="shared" si="371"/>
        <v>0</v>
      </c>
      <c r="E715" s="380">
        <f>SUM(E716)</f>
        <v>0</v>
      </c>
      <c r="F715" s="380">
        <f t="shared" si="372"/>
        <v>0</v>
      </c>
      <c r="G715" s="380">
        <f t="shared" si="372"/>
        <v>0</v>
      </c>
    </row>
    <row r="716" spans="1:7" hidden="1" x14ac:dyDescent="0.25">
      <c r="A716" s="419" t="s">
        <v>513</v>
      </c>
      <c r="B716" s="331" t="s">
        <v>199</v>
      </c>
      <c r="C716" s="403">
        <v>0</v>
      </c>
      <c r="D716" s="403"/>
      <c r="E716" s="403">
        <v>0</v>
      </c>
      <c r="F716" s="403">
        <v>0</v>
      </c>
      <c r="G716" s="403">
        <v>0</v>
      </c>
    </row>
    <row r="717" spans="1:7" ht="31.5" hidden="1" x14ac:dyDescent="0.25">
      <c r="A717" s="454" t="s">
        <v>322</v>
      </c>
      <c r="B717" s="455" t="s">
        <v>569</v>
      </c>
      <c r="C717" s="384">
        <f>C718</f>
        <v>0</v>
      </c>
      <c r="D717" s="384">
        <f t="shared" ref="D717:G717" si="373">D718</f>
        <v>0</v>
      </c>
      <c r="E717" s="384">
        <f t="shared" si="373"/>
        <v>0</v>
      </c>
      <c r="F717" s="384">
        <f t="shared" si="373"/>
        <v>0</v>
      </c>
      <c r="G717" s="384">
        <f t="shared" si="373"/>
        <v>0</v>
      </c>
    </row>
    <row r="718" spans="1:7" hidden="1" x14ac:dyDescent="0.25">
      <c r="A718" s="439">
        <v>52</v>
      </c>
      <c r="B718" s="440" t="s">
        <v>224</v>
      </c>
      <c r="C718" s="387">
        <f>C719+C724</f>
        <v>0</v>
      </c>
      <c r="D718" s="387">
        <f t="shared" ref="D718:G718" si="374">D719+D724</f>
        <v>0</v>
      </c>
      <c r="E718" s="387">
        <f t="shared" si="374"/>
        <v>0</v>
      </c>
      <c r="F718" s="387">
        <f t="shared" si="374"/>
        <v>0</v>
      </c>
      <c r="G718" s="387">
        <f t="shared" si="374"/>
        <v>0</v>
      </c>
    </row>
    <row r="719" spans="1:7" hidden="1" x14ac:dyDescent="0.25">
      <c r="A719" s="453" t="s">
        <v>86</v>
      </c>
      <c r="B719" s="456" t="s">
        <v>87</v>
      </c>
      <c r="C719" s="391">
        <f>C720</f>
        <v>0</v>
      </c>
      <c r="D719" s="391">
        <f t="shared" ref="D719:G720" si="375">D720</f>
        <v>0</v>
      </c>
      <c r="E719" s="391">
        <f t="shared" si="375"/>
        <v>0</v>
      </c>
      <c r="F719" s="391">
        <f t="shared" si="375"/>
        <v>0</v>
      </c>
      <c r="G719" s="391">
        <f t="shared" si="375"/>
        <v>0</v>
      </c>
    </row>
    <row r="720" spans="1:7" hidden="1" x14ac:dyDescent="0.25">
      <c r="A720" s="415">
        <v>32</v>
      </c>
      <c r="B720" s="416" t="s">
        <v>102</v>
      </c>
      <c r="C720" s="408">
        <f>C721</f>
        <v>0</v>
      </c>
      <c r="D720" s="408">
        <f t="shared" si="375"/>
        <v>0</v>
      </c>
      <c r="E720" s="408">
        <f t="shared" si="375"/>
        <v>0</v>
      </c>
      <c r="F720" s="408">
        <f t="shared" si="375"/>
        <v>0</v>
      </c>
      <c r="G720" s="408">
        <f t="shared" si="375"/>
        <v>0</v>
      </c>
    </row>
    <row r="721" spans="1:7" hidden="1" x14ac:dyDescent="0.25">
      <c r="A721" s="417" t="s">
        <v>126</v>
      </c>
      <c r="B721" s="418" t="s">
        <v>127</v>
      </c>
      <c r="C721" s="380">
        <f>C722</f>
        <v>0</v>
      </c>
      <c r="D721" s="380"/>
      <c r="E721" s="380"/>
      <c r="F721" s="380"/>
      <c r="G721" s="380"/>
    </row>
    <row r="722" spans="1:7" hidden="1" x14ac:dyDescent="0.25">
      <c r="A722" s="417" t="s">
        <v>141</v>
      </c>
      <c r="B722" s="333" t="s">
        <v>142</v>
      </c>
      <c r="C722" s="380">
        <f>SUM(C723)</f>
        <v>0</v>
      </c>
      <c r="D722" s="380"/>
      <c r="E722" s="380"/>
      <c r="F722" s="380"/>
      <c r="G722" s="380"/>
    </row>
    <row r="723" spans="1:7" hidden="1" x14ac:dyDescent="0.25">
      <c r="A723" s="419" t="s">
        <v>519</v>
      </c>
      <c r="B723" s="332" t="s">
        <v>315</v>
      </c>
      <c r="C723" s="403"/>
      <c r="D723" s="403"/>
      <c r="E723" s="403"/>
      <c r="F723" s="403"/>
      <c r="G723" s="403"/>
    </row>
    <row r="724" spans="1:7" hidden="1" x14ac:dyDescent="0.25">
      <c r="A724" s="453">
        <v>4</v>
      </c>
      <c r="B724" s="456" t="s">
        <v>174</v>
      </c>
      <c r="C724" s="391">
        <f t="shared" ref="C724:G725" si="376">C725</f>
        <v>0</v>
      </c>
      <c r="D724" s="391">
        <f t="shared" si="376"/>
        <v>0</v>
      </c>
      <c r="E724" s="391">
        <f t="shared" si="376"/>
        <v>0</v>
      </c>
      <c r="F724" s="391">
        <f t="shared" si="376"/>
        <v>0</v>
      </c>
      <c r="G724" s="391">
        <f t="shared" si="376"/>
        <v>0</v>
      </c>
    </row>
    <row r="725" spans="1:7" hidden="1" x14ac:dyDescent="0.25">
      <c r="A725" s="415">
        <v>42</v>
      </c>
      <c r="B725" s="416" t="s">
        <v>361</v>
      </c>
      <c r="C725" s="408">
        <f t="shared" si="376"/>
        <v>0</v>
      </c>
      <c r="D725" s="408">
        <f t="shared" si="376"/>
        <v>0</v>
      </c>
      <c r="E725" s="408">
        <f t="shared" si="376"/>
        <v>0</v>
      </c>
      <c r="F725" s="408">
        <f t="shared" si="376"/>
        <v>0</v>
      </c>
      <c r="G725" s="408">
        <f t="shared" si="376"/>
        <v>0</v>
      </c>
    </row>
    <row r="726" spans="1:7" hidden="1" x14ac:dyDescent="0.25">
      <c r="A726" s="492">
        <v>422</v>
      </c>
      <c r="B726" s="493" t="s">
        <v>184</v>
      </c>
      <c r="C726" s="380">
        <f>C727+C728+C729</f>
        <v>0</v>
      </c>
      <c r="D726" s="380">
        <f t="shared" ref="D726:G726" si="377">D727+D728+D729</f>
        <v>0</v>
      </c>
      <c r="E726" s="380">
        <f t="shared" si="377"/>
        <v>0</v>
      </c>
      <c r="F726" s="380">
        <f t="shared" si="377"/>
        <v>0</v>
      </c>
      <c r="G726" s="380">
        <f t="shared" si="377"/>
        <v>0</v>
      </c>
    </row>
    <row r="727" spans="1:7" hidden="1" x14ac:dyDescent="0.25">
      <c r="A727" s="417">
        <v>4221</v>
      </c>
      <c r="B727" s="458" t="s">
        <v>186</v>
      </c>
      <c r="C727" s="421"/>
      <c r="D727" s="421"/>
      <c r="E727" s="421"/>
      <c r="F727" s="421"/>
      <c r="G727" s="421"/>
    </row>
    <row r="728" spans="1:7" hidden="1" x14ac:dyDescent="0.25">
      <c r="A728" s="417">
        <v>4223</v>
      </c>
      <c r="B728" s="458" t="s">
        <v>311</v>
      </c>
      <c r="C728" s="421"/>
      <c r="D728" s="421"/>
      <c r="E728" s="421"/>
      <c r="F728" s="421"/>
      <c r="G728" s="421"/>
    </row>
    <row r="729" spans="1:7" hidden="1" x14ac:dyDescent="0.25">
      <c r="A729" s="417">
        <v>4224</v>
      </c>
      <c r="B729" s="458" t="s">
        <v>570</v>
      </c>
      <c r="C729" s="421">
        <f>C730</f>
        <v>0</v>
      </c>
      <c r="D729" s="421">
        <f t="shared" ref="D729:G729" si="378">D730</f>
        <v>0</v>
      </c>
      <c r="E729" s="421">
        <f t="shared" si="378"/>
        <v>0</v>
      </c>
      <c r="F729" s="421">
        <f t="shared" si="378"/>
        <v>0</v>
      </c>
      <c r="G729" s="421">
        <f t="shared" si="378"/>
        <v>0</v>
      </c>
    </row>
    <row r="730" spans="1:7" hidden="1" x14ac:dyDescent="0.25">
      <c r="A730" s="419">
        <v>42241</v>
      </c>
      <c r="B730" s="494" t="s">
        <v>469</v>
      </c>
      <c r="C730" s="420"/>
      <c r="D730" s="420"/>
      <c r="E730" s="420"/>
      <c r="F730" s="420"/>
      <c r="G730" s="420"/>
    </row>
    <row r="731" spans="1:7" x14ac:dyDescent="0.25">
      <c r="A731" s="409">
        <v>3</v>
      </c>
      <c r="B731" s="409" t="s">
        <v>87</v>
      </c>
      <c r="C731" s="410" t="e">
        <f>C8+C217+C350+C393+C412+#REF!+#REF!+#REF!+#REF!+C441+#REF!+#REF!+#REF!+C504+#REF!+C523+#REF!+C560+#REF!+#REF!+#REF!+C597+C637+C676+C719</f>
        <v>#REF!</v>
      </c>
      <c r="D731" s="410" t="e">
        <f>D8+D217+D350+D393+D412+#REF!+#REF!+#REF!+#REF!+D441+#REF!+#REF!+#REF!+D504+#REF!+D523+#REF!+D560+#REF!+#REF!+#REF!+D597+D637+D676+D719</f>
        <v>#REF!</v>
      </c>
      <c r="E731" s="410">
        <f>E8+E217+E350+E393+E412+E434+E441+E504+E523+E553+E560+E597+E637+E676+E719</f>
        <v>26300527.960000001</v>
      </c>
      <c r="F731" s="410">
        <f>F8+F217+F350+F393+F412+F434+F441+F504+F523+F553+F560+F597+F637+F676+F719</f>
        <v>26565803.32</v>
      </c>
      <c r="G731" s="410">
        <f>G8+G217+G350+G393+G412+G434+G441+G504+G523+G553+G560+G597+G637+G676+G719</f>
        <v>26806376.339999996</v>
      </c>
    </row>
    <row r="732" spans="1:7" x14ac:dyDescent="0.25">
      <c r="A732" s="409">
        <v>4</v>
      </c>
      <c r="B732" s="409" t="s">
        <v>174</v>
      </c>
      <c r="C732" s="410" t="e">
        <f>C181+C331+C405+C424+C469+#REF!+#REF!+C701+C724</f>
        <v>#REF!</v>
      </c>
      <c r="D732" s="410" t="e">
        <f>D181+D331+D405+D424+D469+#REF!+#REF!+D701+D724</f>
        <v>#REF!</v>
      </c>
      <c r="E732" s="410">
        <f>E181+E331+E405+E424+E469+E701+E724</f>
        <v>854875.27</v>
      </c>
      <c r="F732" s="410">
        <f>F181+F331+F405+F424+F469+F701+F724</f>
        <v>857825.27</v>
      </c>
      <c r="G732" s="410">
        <f>G181+G331+G405+G424+G469+G701+G724</f>
        <v>860775.27</v>
      </c>
    </row>
    <row r="733" spans="1:7" x14ac:dyDescent="0.25">
      <c r="A733" s="409"/>
      <c r="B733" s="409" t="s">
        <v>368</v>
      </c>
      <c r="C733" s="410" t="e">
        <f t="shared" ref="C733:G733" si="379">SUM(C731:C732)</f>
        <v>#REF!</v>
      </c>
      <c r="D733" s="410" t="e">
        <f t="shared" si="379"/>
        <v>#REF!</v>
      </c>
      <c r="E733" s="410">
        <f t="shared" si="379"/>
        <v>27155403.23</v>
      </c>
      <c r="F733" s="410">
        <f t="shared" si="379"/>
        <v>27423628.59</v>
      </c>
      <c r="G733" s="410">
        <f t="shared" si="379"/>
        <v>27667151.609999996</v>
      </c>
    </row>
    <row r="741" spans="1:5" s="411" customFormat="1" x14ac:dyDescent="0.25">
      <c r="A741" s="400"/>
      <c r="B741" s="400"/>
      <c r="C741" s="400"/>
      <c r="D741" s="400"/>
      <c r="E741" s="400"/>
    </row>
  </sheetData>
  <mergeCells count="2">
    <mergeCell ref="A1:G1"/>
    <mergeCell ref="A2:G2"/>
  </mergeCells>
  <pageMargins left="0.74803149606299213" right="0.74803149606299213" top="0.98425196850393704" bottom="0.98425196850393704" header="0.51181102362204722" footer="0.51181102362204722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SAŽETAK</vt:lpstr>
      <vt:lpstr>Prihodi po ekonomskoj klas</vt:lpstr>
      <vt:lpstr>RASHODI-ek.kl.</vt:lpstr>
      <vt:lpstr>Prihodi po ek klas i izvorima</vt:lpstr>
      <vt:lpstr> PRIHODI I RASHODI-izvori</vt:lpstr>
      <vt:lpstr>Prih.i rash.</vt:lpstr>
      <vt:lpstr>RASHODI-funkcijska</vt:lpstr>
      <vt:lpstr>Rekapitulacija Posebni dio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fakture10</dc:creator>
  <cp:lastModifiedBy>Vanja Kovac</cp:lastModifiedBy>
  <cp:lastPrinted>2026-06-09T12:30:30Z</cp:lastPrinted>
  <dcterms:created xsi:type="dcterms:W3CDTF">2015-06-05T18:19:34Z</dcterms:created>
  <dcterms:modified xsi:type="dcterms:W3CDTF">2026-08-10T12:03:06Z</dcterms:modified>
</cp:coreProperties>
</file>