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usan\Desktop\FP 2026-2028 DZVSŽ\Rebalans I\"/>
    </mc:Choice>
  </mc:AlternateContent>
  <xr:revisionPtr revIDLastSave="0" documentId="13_ncr:1_{24757DFE-1B22-4DEF-8265-6D2D813BFC7A}" xr6:coauthVersionLast="47" xr6:coauthVersionMax="47" xr10:uidLastSave="{00000000-0000-0000-0000-000000000000}"/>
  <bookViews>
    <workbookView xWindow="-120" yWindow="-120" windowWidth="29040" windowHeight="15840" tabRatio="660" xr2:uid="{00000000-000D-0000-FFFF-FFFF00000000}"/>
  </bookViews>
  <sheets>
    <sheet name="SAŽETAK" sheetId="3" r:id="rId1"/>
    <sheet name="Prihodi po ekonomskoj klas" sheetId="2" r:id="rId2"/>
    <sheet name="RASHODI-ek.kl." sheetId="4" r:id="rId3"/>
    <sheet name="Prihodi po ek klas i izvorima" sheetId="1" r:id="rId4"/>
    <sheet name=" PRIHODI I RASHODI-izvori" sheetId="5" r:id="rId5"/>
    <sheet name="Prih.i rash." sheetId="9" r:id="rId6"/>
    <sheet name="RASHODI-funkcijska" sheetId="8" r:id="rId7"/>
    <sheet name="Rekapitulacija Posebni dio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1" i="2" l="1"/>
  <c r="I71" i="2"/>
  <c r="J71" i="2"/>
  <c r="G71" i="2"/>
  <c r="G70" i="2" s="1"/>
  <c r="H13" i="1"/>
  <c r="G13" i="1"/>
  <c r="J13" i="1"/>
  <c r="I13" i="1"/>
  <c r="F13" i="1"/>
  <c r="E13" i="1"/>
  <c r="H106" i="5"/>
  <c r="I106" i="5"/>
  <c r="J106" i="5"/>
  <c r="G106" i="5"/>
  <c r="G105" i="5" s="1"/>
  <c r="G104" i="5" s="1"/>
  <c r="G103" i="5" s="1"/>
  <c r="H102" i="5"/>
  <c r="G267" i="4" s="1"/>
  <c r="I102" i="5"/>
  <c r="H267" i="4" s="1"/>
  <c r="J102" i="5"/>
  <c r="I267" i="4" s="1"/>
  <c r="G102" i="5"/>
  <c r="F267" i="4" s="1"/>
  <c r="F266" i="4" s="1"/>
  <c r="F265" i="4" s="1"/>
  <c r="H99" i="5"/>
  <c r="I99" i="5"/>
  <c r="J99" i="5"/>
  <c r="G99" i="5"/>
  <c r="G98" i="5" s="1"/>
  <c r="G97" i="5" s="1"/>
  <c r="H96" i="5"/>
  <c r="I96" i="5"/>
  <c r="J96" i="5"/>
  <c r="G96" i="5"/>
  <c r="H94" i="5"/>
  <c r="I94" i="5"/>
  <c r="J94" i="5"/>
  <c r="G94" i="5"/>
  <c r="G93" i="5" s="1"/>
  <c r="H92" i="5"/>
  <c r="I92" i="5"/>
  <c r="J92" i="5"/>
  <c r="G92" i="5"/>
  <c r="G91" i="5" s="1"/>
  <c r="H89" i="5"/>
  <c r="I89" i="5"/>
  <c r="J89" i="5"/>
  <c r="G89" i="5"/>
  <c r="H90" i="5"/>
  <c r="I90" i="5"/>
  <c r="I88" i="5" s="1"/>
  <c r="J90" i="5"/>
  <c r="G90" i="5"/>
  <c r="H87" i="5"/>
  <c r="G251" i="4" s="1"/>
  <c r="I87" i="5"/>
  <c r="H251" i="4" s="1"/>
  <c r="J87" i="5"/>
  <c r="I251" i="4" s="1"/>
  <c r="G87" i="5"/>
  <c r="G86" i="5" s="1"/>
  <c r="H85" i="5"/>
  <c r="I85" i="5"/>
  <c r="J85" i="5"/>
  <c r="G85" i="5"/>
  <c r="H84" i="5"/>
  <c r="I84" i="5"/>
  <c r="J84" i="5"/>
  <c r="G84" i="5"/>
  <c r="F247" i="4" s="1"/>
  <c r="H81" i="5"/>
  <c r="G244" i="4" s="1"/>
  <c r="I81" i="5"/>
  <c r="H244" i="4" s="1"/>
  <c r="J81" i="5"/>
  <c r="I244" i="4" s="1"/>
  <c r="G81" i="5"/>
  <c r="F244" i="4" s="1"/>
  <c r="H77" i="5"/>
  <c r="G240" i="4" s="1"/>
  <c r="I77" i="5"/>
  <c r="H240" i="4" s="1"/>
  <c r="J77" i="5"/>
  <c r="I240" i="4" s="1"/>
  <c r="G77" i="5"/>
  <c r="G76" i="5" s="1"/>
  <c r="G75" i="5" s="1"/>
  <c r="G74" i="5" s="1"/>
  <c r="D16" i="8"/>
  <c r="D12" i="9"/>
  <c r="D14" i="9"/>
  <c r="I36" i="3"/>
  <c r="G85" i="2"/>
  <c r="G84" i="2" s="1"/>
  <c r="G83" i="2" s="1"/>
  <c r="G82" i="2" s="1"/>
  <c r="G81" i="2" s="1"/>
  <c r="I11" i="3" s="1"/>
  <c r="G69" i="2"/>
  <c r="G68" i="2" s="1"/>
  <c r="G74" i="2"/>
  <c r="G73" i="2" s="1"/>
  <c r="G72" i="2" s="1"/>
  <c r="G78" i="2"/>
  <c r="G79" i="2"/>
  <c r="G80" i="2"/>
  <c r="G59" i="2"/>
  <c r="G62" i="2"/>
  <c r="G63" i="2"/>
  <c r="G65" i="2"/>
  <c r="G64" i="2" s="1"/>
  <c r="G54" i="2"/>
  <c r="G55" i="2"/>
  <c r="G57" i="2"/>
  <c r="H58" i="2"/>
  <c r="H59" i="2"/>
  <c r="H62" i="2"/>
  <c r="H63" i="2"/>
  <c r="H65" i="2"/>
  <c r="H64" i="2" s="1"/>
  <c r="G48" i="2"/>
  <c r="G49" i="2"/>
  <c r="G50" i="2"/>
  <c r="G37" i="2"/>
  <c r="G36" i="2" s="1"/>
  <c r="G39" i="2"/>
  <c r="G38" i="2" s="1"/>
  <c r="G41" i="2"/>
  <c r="G40" i="2" s="1"/>
  <c r="G44" i="2"/>
  <c r="G43" i="2" s="1"/>
  <c r="G42" i="2" s="1"/>
  <c r="G28" i="2"/>
  <c r="G27" i="2" s="1"/>
  <c r="G30" i="2"/>
  <c r="G29" i="2" s="1"/>
  <c r="G33" i="2"/>
  <c r="G32" i="2" s="1"/>
  <c r="G31" i="2" s="1"/>
  <c r="G20" i="2"/>
  <c r="G19" i="2" s="1"/>
  <c r="G18" i="2" s="1"/>
  <c r="G23" i="2"/>
  <c r="G22" i="2" s="1"/>
  <c r="G21" i="2" s="1"/>
  <c r="G16" i="2"/>
  <c r="G15" i="2" s="1"/>
  <c r="G14" i="2" s="1"/>
  <c r="G115" i="1"/>
  <c r="G114" i="1" s="1"/>
  <c r="G113" i="1" s="1"/>
  <c r="G112" i="1" s="1"/>
  <c r="G120" i="1" s="1"/>
  <c r="G109" i="1"/>
  <c r="G108" i="1" s="1"/>
  <c r="G107" i="1" s="1"/>
  <c r="G111" i="1" s="1"/>
  <c r="G121" i="1" s="1"/>
  <c r="G103" i="1"/>
  <c r="G100" i="1"/>
  <c r="G93" i="1"/>
  <c r="G92" i="1" s="1"/>
  <c r="G91" i="1" s="1"/>
  <c r="G95" i="1" s="1"/>
  <c r="G96" i="1" s="1"/>
  <c r="G87" i="1"/>
  <c r="G86" i="1" s="1"/>
  <c r="G85" i="1" s="1"/>
  <c r="G89" i="1" s="1"/>
  <c r="G90" i="1" s="1"/>
  <c r="G82" i="1"/>
  <c r="G81" i="1" s="1"/>
  <c r="G77" i="1"/>
  <c r="G76" i="1" s="1"/>
  <c r="G74" i="1"/>
  <c r="G73" i="1" s="1"/>
  <c r="G70" i="1"/>
  <c r="G69" i="1" s="1"/>
  <c r="G64" i="1"/>
  <c r="G63" i="1" s="1"/>
  <c r="G62" i="1" s="1"/>
  <c r="G60" i="1"/>
  <c r="G59" i="1" s="1"/>
  <c r="G55" i="1" s="1"/>
  <c r="G51" i="1"/>
  <c r="G50" i="1" s="1"/>
  <c r="G49" i="1" s="1"/>
  <c r="D13" i="9" s="1"/>
  <c r="G47" i="1"/>
  <c r="G46" i="1" s="1"/>
  <c r="G45" i="1" s="1"/>
  <c r="D11" i="9" s="1"/>
  <c r="G39" i="1"/>
  <c r="G38" i="1" s="1"/>
  <c r="G37" i="1" s="1"/>
  <c r="G33" i="1"/>
  <c r="G30" i="1"/>
  <c r="G26" i="1"/>
  <c r="G25" i="1" s="1"/>
  <c r="G23" i="1"/>
  <c r="G21" i="1"/>
  <c r="G19" i="1"/>
  <c r="G11" i="1"/>
  <c r="G595" i="5"/>
  <c r="G594" i="5" s="1"/>
  <c r="G593" i="5" s="1"/>
  <c r="G592" i="5"/>
  <c r="G591" i="5" s="1"/>
  <c r="G589" i="5" s="1"/>
  <c r="G570" i="5"/>
  <c r="G569" i="5" s="1"/>
  <c r="G568" i="5" s="1"/>
  <c r="G558" i="5"/>
  <c r="G559" i="5"/>
  <c r="G522" i="5"/>
  <c r="G521" i="5" s="1"/>
  <c r="G520" i="5" s="1"/>
  <c r="G525" i="5"/>
  <c r="G526" i="5"/>
  <c r="G527" i="5"/>
  <c r="G528" i="5"/>
  <c r="G531" i="5"/>
  <c r="G530" i="5" s="1"/>
  <c r="G529" i="5" s="1"/>
  <c r="G535" i="5"/>
  <c r="G536" i="5"/>
  <c r="G537" i="5"/>
  <c r="G539" i="5"/>
  <c r="G538" i="5" s="1"/>
  <c r="G541" i="5"/>
  <c r="G540" i="5" s="1"/>
  <c r="G544" i="5"/>
  <c r="G543" i="5" s="1"/>
  <c r="G546" i="5"/>
  <c r="G545" i="5" s="1"/>
  <c r="G550" i="5"/>
  <c r="G549" i="5" s="1"/>
  <c r="G548" i="5" s="1"/>
  <c r="G547" i="5" s="1"/>
  <c r="G501" i="5"/>
  <c r="G500" i="5" s="1"/>
  <c r="G499" i="5" s="1"/>
  <c r="G498" i="5" s="1"/>
  <c r="G505" i="5"/>
  <c r="G504" i="5" s="1"/>
  <c r="G507" i="5"/>
  <c r="G506" i="5" s="1"/>
  <c r="G510" i="5"/>
  <c r="G509" i="5" s="1"/>
  <c r="G512" i="5"/>
  <c r="G511" i="5" s="1"/>
  <c r="G515" i="5"/>
  <c r="G514" i="5" s="1"/>
  <c r="G513" i="5" s="1"/>
  <c r="G459" i="5"/>
  <c r="G458" i="5" s="1"/>
  <c r="G457" i="5" s="1"/>
  <c r="G462" i="5"/>
  <c r="G461" i="5" s="1"/>
  <c r="G460" i="5" s="1"/>
  <c r="G466" i="5"/>
  <c r="G467" i="5"/>
  <c r="G468" i="5"/>
  <c r="G470" i="5"/>
  <c r="G469" i="5" s="1"/>
  <c r="G472" i="5"/>
  <c r="G471" i="5" s="1"/>
  <c r="G475" i="5"/>
  <c r="G476" i="5"/>
  <c r="G479" i="5"/>
  <c r="G478" i="5" s="1"/>
  <c r="G482" i="5"/>
  <c r="G484" i="5"/>
  <c r="G483" i="5" s="1"/>
  <c r="G486" i="5"/>
  <c r="G485" i="5" s="1"/>
  <c r="G489" i="5"/>
  <c r="G488" i="5" s="1"/>
  <c r="G487" i="5" s="1"/>
  <c r="G495" i="5"/>
  <c r="G494" i="5" s="1"/>
  <c r="G492" i="5" s="1"/>
  <c r="G491" i="5" s="1"/>
  <c r="G490" i="5" s="1"/>
  <c r="G450" i="5"/>
  <c r="G449" i="5" s="1"/>
  <c r="G448" i="5" s="1"/>
  <c r="G447" i="5" s="1"/>
  <c r="G433" i="5"/>
  <c r="G434" i="5"/>
  <c r="F254" i="4" s="1"/>
  <c r="G436" i="5"/>
  <c r="G437" i="5"/>
  <c r="F257" i="4" s="1"/>
  <c r="G439" i="5"/>
  <c r="G438" i="5" s="1"/>
  <c r="G441" i="5"/>
  <c r="G444" i="5"/>
  <c r="G443" i="5" s="1"/>
  <c r="G442" i="5" s="1"/>
  <c r="G428" i="5"/>
  <c r="G429" i="5"/>
  <c r="G430" i="5"/>
  <c r="F249" i="4" s="1"/>
  <c r="G415" i="5"/>
  <c r="G414" i="5" s="1"/>
  <c r="G411" i="5" s="1"/>
  <c r="G408" i="5" s="1"/>
  <c r="G406" i="5"/>
  <c r="G407" i="5"/>
  <c r="G390" i="5"/>
  <c r="F205" i="4" s="1"/>
  <c r="G391" i="5"/>
  <c r="G393" i="5"/>
  <c r="G394" i="5"/>
  <c r="F210" i="4" s="1"/>
  <c r="G395" i="5"/>
  <c r="F211" i="4" s="1"/>
  <c r="G396" i="5"/>
  <c r="F212" i="4" s="1"/>
  <c r="G372" i="5"/>
  <c r="F186" i="4" s="1"/>
  <c r="G374" i="5"/>
  <c r="G373" i="5" s="1"/>
  <c r="G376" i="5"/>
  <c r="G375" i="5" s="1"/>
  <c r="G378" i="5"/>
  <c r="G379" i="5"/>
  <c r="F193" i="4" s="1"/>
  <c r="G380" i="5"/>
  <c r="F194" i="4" s="1"/>
  <c r="G381" i="5"/>
  <c r="F196" i="4" s="1"/>
  <c r="G383" i="5"/>
  <c r="G385" i="5"/>
  <c r="F200" i="4" s="1"/>
  <c r="G386" i="5"/>
  <c r="G344" i="5"/>
  <c r="G345" i="5"/>
  <c r="G346" i="5"/>
  <c r="G347" i="5"/>
  <c r="G349" i="5"/>
  <c r="G348" i="5" s="1"/>
  <c r="G351" i="5"/>
  <c r="G352" i="5"/>
  <c r="G353" i="5"/>
  <c r="F167" i="4" s="1"/>
  <c r="G354" i="5"/>
  <c r="G357" i="5"/>
  <c r="G356" i="5" s="1"/>
  <c r="G355" i="5" s="1"/>
  <c r="G360" i="5"/>
  <c r="G361" i="5"/>
  <c r="G363" i="5"/>
  <c r="G362" i="5" s="1"/>
  <c r="G365" i="5"/>
  <c r="G364" i="5" s="1"/>
  <c r="G368" i="5"/>
  <c r="F182" i="4" s="1"/>
  <c r="F181" i="4" s="1"/>
  <c r="G370" i="5"/>
  <c r="G371" i="5"/>
  <c r="F185" i="4" s="1"/>
  <c r="G316" i="5"/>
  <c r="G317" i="5"/>
  <c r="G319" i="5"/>
  <c r="G320" i="5"/>
  <c r="G321" i="5"/>
  <c r="G322" i="5"/>
  <c r="G324" i="5"/>
  <c r="G323" i="5" s="1"/>
  <c r="G326" i="5"/>
  <c r="G327" i="5"/>
  <c r="F140" i="4" s="1"/>
  <c r="G328" i="5"/>
  <c r="F141" i="4" s="1"/>
  <c r="G329" i="5"/>
  <c r="F142" i="4" s="1"/>
  <c r="G330" i="5"/>
  <c r="F143" i="4" s="1"/>
  <c r="G331" i="5"/>
  <c r="G332" i="5"/>
  <c r="F145" i="4" s="1"/>
  <c r="G333" i="5"/>
  <c r="F146" i="4" s="1"/>
  <c r="G335" i="5"/>
  <c r="G336" i="5"/>
  <c r="F149" i="4" s="1"/>
  <c r="G337" i="5"/>
  <c r="F150" i="4" s="1"/>
  <c r="G339" i="5"/>
  <c r="G340" i="5"/>
  <c r="F153" i="4" s="1"/>
  <c r="G341" i="5"/>
  <c r="F154" i="4" s="1"/>
  <c r="G342" i="5"/>
  <c r="G299" i="5"/>
  <c r="F111" i="4" s="1"/>
  <c r="G300" i="5"/>
  <c r="F112" i="4" s="1"/>
  <c r="G301" i="5"/>
  <c r="G302" i="5"/>
  <c r="G304" i="5"/>
  <c r="G305" i="5"/>
  <c r="G306" i="5"/>
  <c r="F118" i="4" s="1"/>
  <c r="G307" i="5"/>
  <c r="F119" i="4" s="1"/>
  <c r="G309" i="5"/>
  <c r="G310" i="5"/>
  <c r="G312" i="5"/>
  <c r="F124" i="4" s="1"/>
  <c r="F123" i="4" s="1"/>
  <c r="G315" i="5"/>
  <c r="G294" i="5"/>
  <c r="G295" i="5"/>
  <c r="G273" i="5"/>
  <c r="G274" i="5"/>
  <c r="G275" i="5"/>
  <c r="G276" i="5"/>
  <c r="G278" i="5"/>
  <c r="G277" i="5" s="1"/>
  <c r="G280" i="5"/>
  <c r="G281" i="5"/>
  <c r="G283" i="5"/>
  <c r="G282" i="5" s="1"/>
  <c r="G286" i="5"/>
  <c r="G287" i="5"/>
  <c r="F99" i="4" s="1"/>
  <c r="G288" i="5"/>
  <c r="F100" i="4" s="1"/>
  <c r="G289" i="5"/>
  <c r="G290" i="5"/>
  <c r="F102" i="4" s="1"/>
  <c r="G291" i="5"/>
  <c r="F103" i="4" s="1"/>
  <c r="G259" i="5"/>
  <c r="F68" i="4" s="1"/>
  <c r="G260" i="5"/>
  <c r="G261" i="5"/>
  <c r="G262" i="5"/>
  <c r="G263" i="5"/>
  <c r="G264" i="5"/>
  <c r="G267" i="5"/>
  <c r="G266" i="5" s="1"/>
  <c r="G265" i="5" s="1"/>
  <c r="G254" i="5"/>
  <c r="G253" i="5" s="1"/>
  <c r="G250" i="5"/>
  <c r="G251" i="5"/>
  <c r="F62" i="4" s="1"/>
  <c r="G221" i="5"/>
  <c r="G220" i="5" s="1"/>
  <c r="G219" i="5" s="1"/>
  <c r="G216" i="5" s="1"/>
  <c r="G212" i="5"/>
  <c r="G211" i="5" s="1"/>
  <c r="G208" i="5"/>
  <c r="G207" i="5" s="1"/>
  <c r="G196" i="5"/>
  <c r="G198" i="5"/>
  <c r="G197" i="5" s="1"/>
  <c r="G200" i="5"/>
  <c r="G199" i="5" s="1"/>
  <c r="G202" i="5"/>
  <c r="G201" i="5" s="1"/>
  <c r="G184" i="5"/>
  <c r="G187" i="5"/>
  <c r="G188" i="5"/>
  <c r="G190" i="5"/>
  <c r="G189" i="5" s="1"/>
  <c r="G192" i="5"/>
  <c r="G191" i="5" s="1"/>
  <c r="G173" i="5"/>
  <c r="G172" i="5" s="1"/>
  <c r="G175" i="5"/>
  <c r="G176" i="5"/>
  <c r="G177" i="5"/>
  <c r="G179" i="5"/>
  <c r="G180" i="5"/>
  <c r="G182" i="5"/>
  <c r="G183" i="5"/>
  <c r="G169" i="5"/>
  <c r="G168" i="5" s="1"/>
  <c r="G161" i="5"/>
  <c r="F127" i="4" s="1"/>
  <c r="G162" i="5"/>
  <c r="G163" i="5"/>
  <c r="G165" i="5"/>
  <c r="G166" i="5"/>
  <c r="G167" i="5"/>
  <c r="G155" i="5"/>
  <c r="G156" i="5"/>
  <c r="G150" i="5"/>
  <c r="G151" i="5"/>
  <c r="G145" i="5"/>
  <c r="G144" i="5" s="1"/>
  <c r="G132" i="5"/>
  <c r="G133" i="5"/>
  <c r="G134" i="5"/>
  <c r="G135" i="5"/>
  <c r="G137" i="5"/>
  <c r="G138" i="5"/>
  <c r="F90" i="4" s="1"/>
  <c r="G140" i="5"/>
  <c r="G141" i="5"/>
  <c r="G128" i="5"/>
  <c r="G127" i="5" s="1"/>
  <c r="G126" i="5" s="1"/>
  <c r="G113" i="5"/>
  <c r="G112" i="5" s="1"/>
  <c r="G111" i="5" s="1"/>
  <c r="G120" i="5"/>
  <c r="G121" i="5"/>
  <c r="G122" i="5"/>
  <c r="G123" i="5"/>
  <c r="G124" i="5"/>
  <c r="G125" i="5"/>
  <c r="H18" i="5"/>
  <c r="H17" i="5" s="1"/>
  <c r="H16" i="5" s="1"/>
  <c r="I18" i="5"/>
  <c r="I17" i="5" s="1"/>
  <c r="I16" i="5" s="1"/>
  <c r="J18" i="5"/>
  <c r="J17" i="5" s="1"/>
  <c r="J16" i="5" s="1"/>
  <c r="G18" i="5"/>
  <c r="G21" i="5"/>
  <c r="G20" i="5" s="1"/>
  <c r="G19" i="5" s="1"/>
  <c r="E437" i="6"/>
  <c r="E436" i="6" s="1"/>
  <c r="E440" i="6"/>
  <c r="E439" i="6" s="1"/>
  <c r="E682" i="6"/>
  <c r="E681" i="6" s="1"/>
  <c r="E679" i="6"/>
  <c r="E675" i="6"/>
  <c r="E669" i="6"/>
  <c r="E663" i="6"/>
  <c r="E650" i="6"/>
  <c r="E649" i="6" s="1"/>
  <c r="E648" i="6" s="1"/>
  <c r="E643" i="6"/>
  <c r="E642" i="6" s="1"/>
  <c r="E640" i="6"/>
  <c r="E638" i="6"/>
  <c r="E636" i="6"/>
  <c r="E633" i="6"/>
  <c r="E630" i="6"/>
  <c r="E627" i="6"/>
  <c r="E625" i="6"/>
  <c r="E621" i="6"/>
  <c r="E610" i="6"/>
  <c r="E609" i="6" s="1"/>
  <c r="E608" i="6" s="1"/>
  <c r="E603" i="6"/>
  <c r="E602" i="6" s="1"/>
  <c r="E601" i="6" s="1"/>
  <c r="E599" i="6"/>
  <c r="E597" i="6"/>
  <c r="E592" i="6"/>
  <c r="E590" i="6"/>
  <c r="E586" i="6"/>
  <c r="E582" i="6"/>
  <c r="E581" i="6" s="1"/>
  <c r="E576" i="6"/>
  <c r="E575" i="6" s="1"/>
  <c r="E573" i="6"/>
  <c r="E572" i="6" s="1"/>
  <c r="E566" i="6"/>
  <c r="E565" i="6" s="1"/>
  <c r="E564" i="6" s="1"/>
  <c r="E563" i="6" s="1"/>
  <c r="E562" i="6" s="1"/>
  <c r="E561" i="6" s="1"/>
  <c r="E549" i="6"/>
  <c r="E552" i="6"/>
  <c r="E551" i="6" s="1"/>
  <c r="E545" i="6"/>
  <c r="E541" i="6"/>
  <c r="E540" i="6" s="1"/>
  <c r="E536" i="6"/>
  <c r="E535" i="6" s="1"/>
  <c r="E522" i="6"/>
  <c r="E521" i="6" s="1"/>
  <c r="E517" i="6"/>
  <c r="E516" i="6" s="1"/>
  <c r="E506" i="6"/>
  <c r="E505" i="6" s="1"/>
  <c r="E510" i="6"/>
  <c r="E509" i="6" s="1"/>
  <c r="E508" i="6" s="1"/>
  <c r="E503" i="6"/>
  <c r="E502" i="6" s="1"/>
  <c r="E500" i="6"/>
  <c r="E498" i="6"/>
  <c r="E491" i="6"/>
  <c r="E496" i="6"/>
  <c r="F493" i="6"/>
  <c r="G493" i="6"/>
  <c r="H493" i="6"/>
  <c r="E493" i="6"/>
  <c r="G72" i="5"/>
  <c r="G71" i="5" s="1"/>
  <c r="G66" i="5" s="1"/>
  <c r="G57" i="5"/>
  <c r="F162" i="4" s="1"/>
  <c r="G58" i="5"/>
  <c r="H51" i="5"/>
  <c r="I51" i="5"/>
  <c r="J51" i="5"/>
  <c r="G51" i="5"/>
  <c r="F134" i="4" s="1"/>
  <c r="G48" i="5"/>
  <c r="G49" i="5"/>
  <c r="G50" i="5"/>
  <c r="G41" i="5"/>
  <c r="G39" i="5"/>
  <c r="G36" i="5" s="1"/>
  <c r="G35" i="5"/>
  <c r="G33" i="5" s="1"/>
  <c r="G28" i="5"/>
  <c r="G27" i="5" s="1"/>
  <c r="G25" i="5"/>
  <c r="G26" i="5"/>
  <c r="G15" i="5"/>
  <c r="E485" i="6"/>
  <c r="E484" i="6" s="1"/>
  <c r="E481" i="6"/>
  <c r="E480" i="6" s="1"/>
  <c r="E479" i="6" s="1"/>
  <c r="E488" i="6"/>
  <c r="I57" i="5"/>
  <c r="J57" i="5"/>
  <c r="H57" i="5"/>
  <c r="F475" i="6"/>
  <c r="G475" i="6"/>
  <c r="H475" i="6"/>
  <c r="E475" i="6"/>
  <c r="E468" i="6"/>
  <c r="E465" i="6"/>
  <c r="E463" i="6" s="1"/>
  <c r="E444" i="6"/>
  <c r="E443" i="6" s="1"/>
  <c r="E442" i="6" s="1"/>
  <c r="E422" i="6"/>
  <c r="E421" i="6" s="1"/>
  <c r="E414" i="6"/>
  <c r="E419" i="6"/>
  <c r="E417" i="6" s="1"/>
  <c r="E403" i="6"/>
  <c r="E402" i="6" s="1"/>
  <c r="E396" i="6"/>
  <c r="E395" i="6" s="1"/>
  <c r="E360" i="6"/>
  <c r="E359" i="6" s="1"/>
  <c r="E353" i="6"/>
  <c r="E352" i="6" s="1"/>
  <c r="E323" i="6"/>
  <c r="E326" i="6"/>
  <c r="E325" i="6" s="1"/>
  <c r="E317" i="6"/>
  <c r="E313" i="6"/>
  <c r="E307" i="6"/>
  <c r="E305" i="6"/>
  <c r="E303" i="6"/>
  <c r="E300" i="6"/>
  <c r="E297" i="6"/>
  <c r="E295" i="6"/>
  <c r="E292" i="6"/>
  <c r="E287" i="6"/>
  <c r="E284" i="6"/>
  <c r="E280" i="6"/>
  <c r="E278" i="6"/>
  <c r="E274" i="6"/>
  <c r="E270" i="6"/>
  <c r="E266" i="6"/>
  <c r="E261" i="6"/>
  <c r="E257" i="6"/>
  <c r="E252" i="6"/>
  <c r="E247" i="6"/>
  <c r="E244" i="6"/>
  <c r="E239" i="6"/>
  <c r="E235" i="6"/>
  <c r="E234" i="6" s="1"/>
  <c r="E227" i="6"/>
  <c r="E226" i="6" s="1"/>
  <c r="E220" i="6"/>
  <c r="E219" i="6" s="1"/>
  <c r="E212" i="6"/>
  <c r="E211" i="6" s="1"/>
  <c r="E210" i="6" s="1"/>
  <c r="E205" i="6"/>
  <c r="E206" i="6"/>
  <c r="E203" i="6"/>
  <c r="E201" i="6"/>
  <c r="E198" i="6"/>
  <c r="E195" i="6"/>
  <c r="E184" i="6"/>
  <c r="E183" i="6" s="1"/>
  <c r="E186" i="6"/>
  <c r="E190" i="6"/>
  <c r="E171" i="6"/>
  <c r="E176" i="6"/>
  <c r="E173" i="6" s="1"/>
  <c r="E167" i="6"/>
  <c r="E166" i="6" s="1"/>
  <c r="E165" i="6" s="1"/>
  <c r="E155" i="6"/>
  <c r="E151" i="6"/>
  <c r="E146" i="6"/>
  <c r="E144" i="6"/>
  <c r="E139" i="6"/>
  <c r="E137" i="6"/>
  <c r="E135" i="6"/>
  <c r="E131" i="6"/>
  <c r="E129" i="6"/>
  <c r="E126" i="6"/>
  <c r="E124" i="6"/>
  <c r="E121" i="6"/>
  <c r="E118" i="6"/>
  <c r="E117" i="6" s="1"/>
  <c r="E112" i="6"/>
  <c r="E110" i="6"/>
  <c r="E105" i="6"/>
  <c r="E100" i="6"/>
  <c r="E96" i="6"/>
  <c r="E87" i="6"/>
  <c r="E85" i="6"/>
  <c r="E80" i="6"/>
  <c r="E76" i="6"/>
  <c r="E73" i="6"/>
  <c r="E70" i="6"/>
  <c r="E65" i="6"/>
  <c r="E60" i="6"/>
  <c r="E54" i="6"/>
  <c r="E47" i="6"/>
  <c r="E44" i="6"/>
  <c r="E41" i="6"/>
  <c r="E39" i="6"/>
  <c r="E34" i="6"/>
  <c r="E28" i="6"/>
  <c r="E27" i="6" s="1"/>
  <c r="E20" i="6"/>
  <c r="E19" i="6" s="1"/>
  <c r="E15" i="6"/>
  <c r="E11" i="6"/>
  <c r="G468" i="6"/>
  <c r="H468" i="6"/>
  <c r="F468" i="6"/>
  <c r="I30" i="2"/>
  <c r="J30" i="2"/>
  <c r="H30" i="2"/>
  <c r="F85" i="1"/>
  <c r="J87" i="1"/>
  <c r="J86" i="1" s="1"/>
  <c r="J85" i="1" s="1"/>
  <c r="J89" i="1" s="1"/>
  <c r="J90" i="1" s="1"/>
  <c r="I87" i="1"/>
  <c r="I86" i="1" s="1"/>
  <c r="I85" i="1" s="1"/>
  <c r="I89" i="1" s="1"/>
  <c r="I90" i="1" s="1"/>
  <c r="H87" i="1"/>
  <c r="H86" i="1" s="1"/>
  <c r="H85" i="1" s="1"/>
  <c r="H89" i="1" s="1"/>
  <c r="H90" i="1" s="1"/>
  <c r="F87" i="1"/>
  <c r="F86" i="1" s="1"/>
  <c r="E87" i="1"/>
  <c r="E86" i="1" s="1"/>
  <c r="E85" i="1" s="1"/>
  <c r="F261" i="4" l="1"/>
  <c r="F264" i="4"/>
  <c r="E544" i="6"/>
  <c r="G83" i="5"/>
  <c r="F240" i="4"/>
  <c r="F251" i="4"/>
  <c r="F73" i="4"/>
  <c r="F253" i="4"/>
  <c r="F271" i="4"/>
  <c r="F259" i="4"/>
  <c r="G80" i="5"/>
  <c r="G79" i="5" s="1"/>
  <c r="F163" i="4"/>
  <c r="F161" i="4" s="1"/>
  <c r="G88" i="5"/>
  <c r="G101" i="5"/>
  <c r="G100" i="5" s="1"/>
  <c r="F248" i="4"/>
  <c r="F256" i="4"/>
  <c r="J88" i="5"/>
  <c r="F260" i="4"/>
  <c r="F223" i="4"/>
  <c r="H88" i="5"/>
  <c r="G10" i="1"/>
  <c r="G9" i="1" s="1"/>
  <c r="D16" i="9"/>
  <c r="D20" i="9"/>
  <c r="D19" i="9" s="1"/>
  <c r="F133" i="4"/>
  <c r="F144" i="4"/>
  <c r="F206" i="4"/>
  <c r="F204" i="4" s="1"/>
  <c r="G186" i="5"/>
  <c r="G185" i="5" s="1"/>
  <c r="F113" i="4"/>
  <c r="F72" i="4"/>
  <c r="F195" i="4"/>
  <c r="G61" i="2"/>
  <c r="G60" i="2" s="1"/>
  <c r="G47" i="2"/>
  <c r="G46" i="2" s="1"/>
  <c r="G45" i="2" s="1"/>
  <c r="H61" i="2"/>
  <c r="H60" i="2" s="1"/>
  <c r="G77" i="2"/>
  <c r="G76" i="2" s="1"/>
  <c r="G75" i="2" s="1"/>
  <c r="G26" i="2"/>
  <c r="G11" i="2" s="1"/>
  <c r="G53" i="2"/>
  <c r="D24" i="9"/>
  <c r="D23" i="9" s="1"/>
  <c r="D18" i="9"/>
  <c r="D17" i="9" s="1"/>
  <c r="G56" i="2"/>
  <c r="F87" i="4"/>
  <c r="F107" i="4"/>
  <c r="F255" i="4"/>
  <c r="G474" i="5"/>
  <c r="G473" i="5" s="1"/>
  <c r="G503" i="5"/>
  <c r="F263" i="4"/>
  <c r="F262" i="4" s="1"/>
  <c r="G350" i="5"/>
  <c r="F155" i="4"/>
  <c r="G359" i="5"/>
  <c r="G358" i="5" s="1"/>
  <c r="D10" i="9"/>
  <c r="G367" i="5"/>
  <c r="G435" i="5"/>
  <c r="F89" i="4"/>
  <c r="F88" i="4" s="1"/>
  <c r="F85" i="4"/>
  <c r="G149" i="5"/>
  <c r="F86" i="4"/>
  <c r="F122" i="4"/>
  <c r="G303" i="5"/>
  <c r="F166" i="4"/>
  <c r="G384" i="5"/>
  <c r="G427" i="5"/>
  <c r="F137" i="4"/>
  <c r="F179" i="4"/>
  <c r="F178" i="4" s="1"/>
  <c r="G181" i="5"/>
  <c r="G311" i="5"/>
  <c r="F160" i="4"/>
  <c r="G440" i="5"/>
  <c r="F93" i="4"/>
  <c r="G136" i="5"/>
  <c r="G131" i="5"/>
  <c r="F175" i="4"/>
  <c r="F71" i="4"/>
  <c r="F121" i="4"/>
  <c r="F177" i="4"/>
  <c r="F176" i="4" s="1"/>
  <c r="F158" i="4"/>
  <c r="F174" i="4"/>
  <c r="F190" i="4"/>
  <c r="F189" i="4" s="1"/>
  <c r="F250" i="4"/>
  <c r="F188" i="4"/>
  <c r="F187" i="4" s="1"/>
  <c r="G334" i="5"/>
  <c r="F148" i="4"/>
  <c r="F147" i="4" s="1"/>
  <c r="F243" i="4"/>
  <c r="F242" i="4" s="1"/>
  <c r="G405" i="5"/>
  <c r="G404" i="5" s="1"/>
  <c r="G403" i="5" s="1"/>
  <c r="F222" i="4"/>
  <c r="F221" i="4" s="1"/>
  <c r="F220" i="4" s="1"/>
  <c r="F219" i="4" s="1"/>
  <c r="F132" i="4"/>
  <c r="F78" i="4"/>
  <c r="F77" i="4" s="1"/>
  <c r="F75" i="4" s="1"/>
  <c r="G119" i="5"/>
  <c r="G118" i="5" s="1"/>
  <c r="G110" i="5" s="1"/>
  <c r="G139" i="5"/>
  <c r="G154" i="5"/>
  <c r="F70" i="4"/>
  <c r="F98" i="4"/>
  <c r="F165" i="4"/>
  <c r="G382" i="5"/>
  <c r="F198" i="4"/>
  <c r="F197" i="4" s="1"/>
  <c r="G377" i="5"/>
  <c r="F192" i="4"/>
  <c r="G542" i="5"/>
  <c r="F69" i="4"/>
  <c r="G40" i="5"/>
  <c r="G29" i="5" s="1"/>
  <c r="F116" i="4"/>
  <c r="G292" i="5"/>
  <c r="F106" i="4"/>
  <c r="G325" i="5"/>
  <c r="F139" i="4"/>
  <c r="F117" i="4"/>
  <c r="G14" i="5"/>
  <c r="G13" i="5" s="1"/>
  <c r="F61" i="4"/>
  <c r="F60" i="4" s="1"/>
  <c r="F270" i="4"/>
  <c r="F269" i="4" s="1"/>
  <c r="F268" i="4" s="1"/>
  <c r="G164" i="5"/>
  <c r="G392" i="5"/>
  <c r="F209" i="4"/>
  <c r="F208" i="4" s="1"/>
  <c r="F168" i="4"/>
  <c r="F252" i="4"/>
  <c r="G47" i="5"/>
  <c r="G17" i="5"/>
  <c r="G16" i="5" s="1"/>
  <c r="F74" i="4"/>
  <c r="G195" i="5"/>
  <c r="G193" i="5" s="1"/>
  <c r="F184" i="4"/>
  <c r="F183" i="4" s="1"/>
  <c r="F128" i="4"/>
  <c r="G481" i="5"/>
  <c r="G480" i="5" s="1"/>
  <c r="F129" i="4"/>
  <c r="F131" i="4"/>
  <c r="G174" i="5"/>
  <c r="G314" i="5"/>
  <c r="G338" i="5"/>
  <c r="G534" i="5"/>
  <c r="G533" i="5" s="1"/>
  <c r="G532" i="5" s="1"/>
  <c r="F171" i="4"/>
  <c r="G160" i="5"/>
  <c r="G178" i="5"/>
  <c r="G258" i="5"/>
  <c r="G257" i="5" s="1"/>
  <c r="G285" i="5"/>
  <c r="G272" i="5"/>
  <c r="G318" i="5"/>
  <c r="G369" i="5"/>
  <c r="G389" i="5"/>
  <c r="G432" i="5"/>
  <c r="G524" i="5"/>
  <c r="G523" i="5" s="1"/>
  <c r="G519" i="5" s="1"/>
  <c r="G557" i="5"/>
  <c r="G556" i="5" s="1"/>
  <c r="G555" i="5" s="1"/>
  <c r="G554" i="5" s="1"/>
  <c r="G582" i="5" s="1"/>
  <c r="F65" i="4"/>
  <c r="F64" i="4" s="1"/>
  <c r="F101" i="4"/>
  <c r="F114" i="4"/>
  <c r="F152" i="4"/>
  <c r="F214" i="4"/>
  <c r="F213" i="4" s="1"/>
  <c r="F239" i="4"/>
  <c r="F238" i="4" s="1"/>
  <c r="F235" i="4" s="1"/>
  <c r="G249" i="5"/>
  <c r="G248" i="5" s="1"/>
  <c r="G308" i="5"/>
  <c r="G298" i="5"/>
  <c r="F157" i="4"/>
  <c r="G279" i="5"/>
  <c r="G343" i="5"/>
  <c r="G465" i="5"/>
  <c r="G464" i="5" s="1"/>
  <c r="F84" i="4"/>
  <c r="F95" i="4"/>
  <c r="F94" i="4" s="1"/>
  <c r="F159" i="4"/>
  <c r="F201" i="4"/>
  <c r="F199" i="4" s="1"/>
  <c r="F231" i="4"/>
  <c r="F230" i="4" s="1"/>
  <c r="F227" i="4" s="1"/>
  <c r="F224" i="4" s="1"/>
  <c r="F258" i="4"/>
  <c r="F136" i="4"/>
  <c r="G508" i="5"/>
  <c r="F92" i="4"/>
  <c r="G67" i="2"/>
  <c r="G66" i="2" s="1"/>
  <c r="G35" i="2"/>
  <c r="G34" i="2" s="1"/>
  <c r="G29" i="1"/>
  <c r="G28" i="1" s="1"/>
  <c r="G99" i="1"/>
  <c r="G98" i="1" s="1"/>
  <c r="G105" i="1" s="1"/>
  <c r="G66" i="1"/>
  <c r="G67" i="1" s="1"/>
  <c r="G18" i="1"/>
  <c r="G17" i="1" s="1"/>
  <c r="G68" i="1"/>
  <c r="G84" i="1" s="1"/>
  <c r="G97" i="1" s="1"/>
  <c r="G585" i="5"/>
  <c r="G584" i="5" s="1"/>
  <c r="G605" i="5" s="1"/>
  <c r="G456" i="5"/>
  <c r="G206" i="5"/>
  <c r="G205" i="5" s="1"/>
  <c r="E435" i="6"/>
  <c r="E434" i="6" s="1"/>
  <c r="E433" i="6" s="1"/>
  <c r="E585" i="6"/>
  <c r="E674" i="6"/>
  <c r="E662" i="6"/>
  <c r="E635" i="6"/>
  <c r="E629" i="6"/>
  <c r="E620" i="6"/>
  <c r="E596" i="6"/>
  <c r="E571" i="6"/>
  <c r="E543" i="6"/>
  <c r="E534" i="6"/>
  <c r="E515" i="6"/>
  <c r="E514" i="6" s="1"/>
  <c r="E513" i="6" s="1"/>
  <c r="E512" i="6" s="1"/>
  <c r="G24" i="5"/>
  <c r="G23" i="5" s="1"/>
  <c r="E487" i="6"/>
  <c r="E483" i="6" s="1"/>
  <c r="E478" i="6" s="1"/>
  <c r="G56" i="5"/>
  <c r="E299" i="6"/>
  <c r="E467" i="6"/>
  <c r="E458" i="6" s="1"/>
  <c r="E448" i="6" s="1"/>
  <c r="E447" i="6" s="1"/>
  <c r="E446" i="6" s="1"/>
  <c r="E413" i="6"/>
  <c r="E412" i="6" s="1"/>
  <c r="E411" i="6" s="1"/>
  <c r="E394" i="6"/>
  <c r="E393" i="6" s="1"/>
  <c r="E392" i="6" s="1"/>
  <c r="E351" i="6"/>
  <c r="E350" i="6" s="1"/>
  <c r="E349" i="6" s="1"/>
  <c r="E322" i="6"/>
  <c r="E312" i="6"/>
  <c r="E311" i="6" s="1"/>
  <c r="E291" i="6"/>
  <c r="E265" i="6"/>
  <c r="E251" i="6"/>
  <c r="E238" i="6"/>
  <c r="E218" i="6"/>
  <c r="E189" i="6"/>
  <c r="E188" i="6" s="1"/>
  <c r="E182" i="6"/>
  <c r="E170" i="6"/>
  <c r="E150" i="6"/>
  <c r="E149" i="6" s="1"/>
  <c r="E128" i="6"/>
  <c r="E120" i="6"/>
  <c r="E75" i="6"/>
  <c r="E46" i="6"/>
  <c r="E33" i="6"/>
  <c r="E10" i="6"/>
  <c r="E9" i="6" s="1"/>
  <c r="E18" i="9"/>
  <c r="G18" i="9"/>
  <c r="F18" i="9"/>
  <c r="I550" i="5"/>
  <c r="I549" i="5" s="1"/>
  <c r="I548" i="5" s="1"/>
  <c r="I547" i="5" s="1"/>
  <c r="J550" i="5"/>
  <c r="J549" i="5" s="1"/>
  <c r="J548" i="5" s="1"/>
  <c r="J547" i="5" s="1"/>
  <c r="H550" i="5"/>
  <c r="H549" i="5" s="1"/>
  <c r="H548" i="5" s="1"/>
  <c r="H547" i="5" s="1"/>
  <c r="I546" i="5"/>
  <c r="I545" i="5" s="1"/>
  <c r="J546" i="5"/>
  <c r="J545" i="5" s="1"/>
  <c r="H546" i="5"/>
  <c r="H545" i="5" s="1"/>
  <c r="I544" i="5"/>
  <c r="I543" i="5" s="1"/>
  <c r="J544" i="5"/>
  <c r="J543" i="5" s="1"/>
  <c r="H544" i="5"/>
  <c r="H543" i="5" s="1"/>
  <c r="I541" i="5"/>
  <c r="I540" i="5" s="1"/>
  <c r="J541" i="5"/>
  <c r="J540" i="5" s="1"/>
  <c r="H541" i="5"/>
  <c r="H540" i="5" s="1"/>
  <c r="I539" i="5"/>
  <c r="J539" i="5"/>
  <c r="J538" i="5" s="1"/>
  <c r="H539" i="5"/>
  <c r="H538" i="5" s="1"/>
  <c r="I537" i="5"/>
  <c r="J537" i="5"/>
  <c r="H537" i="5"/>
  <c r="I536" i="5"/>
  <c r="J536" i="5"/>
  <c r="H536" i="5"/>
  <c r="I535" i="5"/>
  <c r="J535" i="5"/>
  <c r="H535" i="5"/>
  <c r="I538" i="5"/>
  <c r="F537" i="5"/>
  <c r="E537" i="5"/>
  <c r="F535" i="5"/>
  <c r="I531" i="5"/>
  <c r="I530" i="5" s="1"/>
  <c r="I529" i="5" s="1"/>
  <c r="J531" i="5"/>
  <c r="J530" i="5" s="1"/>
  <c r="J529" i="5" s="1"/>
  <c r="H531" i="5"/>
  <c r="H530" i="5" s="1"/>
  <c r="H529" i="5" s="1"/>
  <c r="I528" i="5"/>
  <c r="J528" i="5"/>
  <c r="H528" i="5"/>
  <c r="I527" i="5"/>
  <c r="J527" i="5"/>
  <c r="H527" i="5"/>
  <c r="I526" i="5"/>
  <c r="J526" i="5"/>
  <c r="H526" i="5"/>
  <c r="I525" i="5"/>
  <c r="J525" i="5"/>
  <c r="H525" i="5"/>
  <c r="I522" i="5"/>
  <c r="I521" i="5" s="1"/>
  <c r="I520" i="5" s="1"/>
  <c r="J522" i="5"/>
  <c r="J521" i="5" s="1"/>
  <c r="J520" i="5" s="1"/>
  <c r="H522" i="5"/>
  <c r="H521" i="5" s="1"/>
  <c r="H520" i="5" s="1"/>
  <c r="F528" i="5"/>
  <c r="E528" i="5"/>
  <c r="F522" i="5"/>
  <c r="F521" i="5" s="1"/>
  <c r="F520" i="5" s="1"/>
  <c r="E522" i="5"/>
  <c r="E521" i="5" s="1"/>
  <c r="E520" i="5" s="1"/>
  <c r="I515" i="5"/>
  <c r="I514" i="5" s="1"/>
  <c r="I513" i="5" s="1"/>
  <c r="J515" i="5"/>
  <c r="J514" i="5" s="1"/>
  <c r="J513" i="5" s="1"/>
  <c r="H515" i="5"/>
  <c r="H514" i="5" s="1"/>
  <c r="H513" i="5" s="1"/>
  <c r="I512" i="5"/>
  <c r="I511" i="5" s="1"/>
  <c r="J512" i="5"/>
  <c r="J511" i="5" s="1"/>
  <c r="H512" i="5"/>
  <c r="H511" i="5" s="1"/>
  <c r="I510" i="5"/>
  <c r="I509" i="5" s="1"/>
  <c r="J510" i="5"/>
  <c r="J509" i="5" s="1"/>
  <c r="H510" i="5"/>
  <c r="H509" i="5" s="1"/>
  <c r="I507" i="5"/>
  <c r="I506" i="5" s="1"/>
  <c r="J507" i="5"/>
  <c r="J506" i="5" s="1"/>
  <c r="H507" i="5"/>
  <c r="H506" i="5" s="1"/>
  <c r="I505" i="5"/>
  <c r="I504" i="5" s="1"/>
  <c r="J505" i="5"/>
  <c r="J504" i="5" s="1"/>
  <c r="H505" i="5"/>
  <c r="H504" i="5" s="1"/>
  <c r="I501" i="5"/>
  <c r="I500" i="5" s="1"/>
  <c r="I499" i="5" s="1"/>
  <c r="I498" i="5" s="1"/>
  <c r="J501" i="5"/>
  <c r="J500" i="5" s="1"/>
  <c r="J499" i="5" s="1"/>
  <c r="J498" i="5" s="1"/>
  <c r="H501" i="5"/>
  <c r="H500" i="5" s="1"/>
  <c r="H499" i="5" s="1"/>
  <c r="H498" i="5" s="1"/>
  <c r="I486" i="5"/>
  <c r="J486" i="5"/>
  <c r="H486" i="5"/>
  <c r="I484" i="5"/>
  <c r="J484" i="5"/>
  <c r="H484" i="5"/>
  <c r="I472" i="5"/>
  <c r="J472" i="5"/>
  <c r="H472" i="5"/>
  <c r="H471" i="5" s="1"/>
  <c r="I470" i="5"/>
  <c r="J470" i="5"/>
  <c r="I466" i="5"/>
  <c r="J466" i="5"/>
  <c r="I467" i="5"/>
  <c r="J467" i="5"/>
  <c r="I468" i="5"/>
  <c r="J468" i="5"/>
  <c r="H470" i="5"/>
  <c r="H468" i="5"/>
  <c r="H467" i="5"/>
  <c r="H466" i="5"/>
  <c r="I462" i="5"/>
  <c r="J462" i="5"/>
  <c r="H462" i="5"/>
  <c r="I459" i="5"/>
  <c r="J459" i="5"/>
  <c r="H459" i="5"/>
  <c r="I72" i="5"/>
  <c r="J72" i="5"/>
  <c r="H72" i="5"/>
  <c r="I21" i="5"/>
  <c r="J21" i="5"/>
  <c r="H21" i="5"/>
  <c r="I15" i="5"/>
  <c r="J15" i="5"/>
  <c r="H15" i="5"/>
  <c r="I95" i="5"/>
  <c r="J95" i="5"/>
  <c r="H95" i="5"/>
  <c r="H80" i="5"/>
  <c r="H79" i="5" s="1"/>
  <c r="I49" i="5"/>
  <c r="J49" i="5"/>
  <c r="I50" i="5"/>
  <c r="J50" i="5"/>
  <c r="H50" i="5"/>
  <c r="H49" i="5"/>
  <c r="I41" i="5"/>
  <c r="J41" i="5"/>
  <c r="H41" i="5"/>
  <c r="I28" i="5"/>
  <c r="J28" i="5"/>
  <c r="H28" i="5"/>
  <c r="H603" i="6"/>
  <c r="H602" i="6" s="1"/>
  <c r="H601" i="6" s="1"/>
  <c r="G603" i="6"/>
  <c r="G602" i="6" s="1"/>
  <c r="G601" i="6" s="1"/>
  <c r="F603" i="6"/>
  <c r="F602" i="6" s="1"/>
  <c r="F601" i="6" s="1"/>
  <c r="D603" i="6"/>
  <c r="D602" i="6" s="1"/>
  <c r="D601" i="6" s="1"/>
  <c r="C603" i="6"/>
  <c r="C602" i="6" s="1"/>
  <c r="C601" i="6" s="1"/>
  <c r="G586" i="6"/>
  <c r="H586" i="6"/>
  <c r="F586" i="6"/>
  <c r="G576" i="6"/>
  <c r="H576" i="6"/>
  <c r="F576" i="6"/>
  <c r="G566" i="6"/>
  <c r="G565" i="6" s="1"/>
  <c r="G564" i="6" s="1"/>
  <c r="G563" i="6" s="1"/>
  <c r="G562" i="6" s="1"/>
  <c r="G561" i="6" s="1"/>
  <c r="H566" i="6"/>
  <c r="H565" i="6" s="1"/>
  <c r="H564" i="6" s="1"/>
  <c r="H563" i="6" s="1"/>
  <c r="H562" i="6" s="1"/>
  <c r="H561" i="6" s="1"/>
  <c r="F566" i="6"/>
  <c r="F565" i="6" s="1"/>
  <c r="F564" i="6" s="1"/>
  <c r="F563" i="6" s="1"/>
  <c r="F562" i="6" s="1"/>
  <c r="F561" i="6" s="1"/>
  <c r="G506" i="6"/>
  <c r="G505" i="6" s="1"/>
  <c r="H506" i="6"/>
  <c r="H505" i="6" s="1"/>
  <c r="F506" i="6"/>
  <c r="F505" i="6" s="1"/>
  <c r="G481" i="6"/>
  <c r="G480" i="6" s="1"/>
  <c r="G479" i="6" s="1"/>
  <c r="H481" i="6"/>
  <c r="H480" i="6" s="1"/>
  <c r="H479" i="6" s="1"/>
  <c r="F481" i="6"/>
  <c r="F480" i="6" s="1"/>
  <c r="F479" i="6" s="1"/>
  <c r="I48" i="5"/>
  <c r="J48" i="5"/>
  <c r="H48" i="5"/>
  <c r="G500" i="6"/>
  <c r="H500" i="6"/>
  <c r="F500" i="6"/>
  <c r="G491" i="6"/>
  <c r="H491" i="6"/>
  <c r="F491" i="6"/>
  <c r="G485" i="6"/>
  <c r="G484" i="6" s="1"/>
  <c r="H485" i="6"/>
  <c r="H484" i="6" s="1"/>
  <c r="F485" i="6"/>
  <c r="F484" i="6" s="1"/>
  <c r="I58" i="5"/>
  <c r="I56" i="5" s="1"/>
  <c r="J58" i="5"/>
  <c r="J56" i="5" s="1"/>
  <c r="H58" i="5"/>
  <c r="H56" i="5" s="1"/>
  <c r="I35" i="5"/>
  <c r="I33" i="5" s="1"/>
  <c r="J35" i="5"/>
  <c r="J33" i="5" s="1"/>
  <c r="H35" i="5"/>
  <c r="H33" i="5" s="1"/>
  <c r="G444" i="6"/>
  <c r="G443" i="6" s="1"/>
  <c r="G442" i="6" s="1"/>
  <c r="G434" i="6" s="1"/>
  <c r="G433" i="6" s="1"/>
  <c r="H444" i="6"/>
  <c r="H443" i="6" s="1"/>
  <c r="H442" i="6" s="1"/>
  <c r="H434" i="6" s="1"/>
  <c r="H433" i="6" s="1"/>
  <c r="F444" i="6"/>
  <c r="F443" i="6" s="1"/>
  <c r="F442" i="6" s="1"/>
  <c r="F434" i="6" s="1"/>
  <c r="J94" i="1"/>
  <c r="I94" i="1"/>
  <c r="H94" i="1"/>
  <c r="G82" i="5" l="1"/>
  <c r="F104" i="4"/>
  <c r="F110" i="4"/>
  <c r="G78" i="5"/>
  <c r="G73" i="5" s="1"/>
  <c r="F135" i="4"/>
  <c r="G143" i="5"/>
  <c r="D15" i="9"/>
  <c r="G15" i="1"/>
  <c r="D7" i="9" s="1"/>
  <c r="D6" i="9" s="1"/>
  <c r="G8" i="1"/>
  <c r="G122" i="1" s="1"/>
  <c r="G502" i="5"/>
  <c r="G497" i="5" s="1"/>
  <c r="G516" i="5" s="1"/>
  <c r="F138" i="4"/>
  <c r="G247" i="5"/>
  <c r="G518" i="5"/>
  <c r="G551" i="5" s="1"/>
  <c r="F246" i="4"/>
  <c r="F245" i="4" s="1"/>
  <c r="F241" i="4" s="1"/>
  <c r="F234" i="4" s="1"/>
  <c r="I14" i="3" s="1"/>
  <c r="F151" i="4"/>
  <c r="F173" i="4"/>
  <c r="F172" i="4" s="1"/>
  <c r="F120" i="4"/>
  <c r="F203" i="4"/>
  <c r="F202" i="4" s="1"/>
  <c r="F59" i="4"/>
  <c r="F191" i="4"/>
  <c r="F180" i="4" s="1"/>
  <c r="F164" i="4"/>
  <c r="G106" i="1"/>
  <c r="D22" i="9"/>
  <c r="D21" i="9" s="1"/>
  <c r="G52" i="2"/>
  <c r="G51" i="2" s="1"/>
  <c r="G10" i="2" s="1"/>
  <c r="G271" i="5"/>
  <c r="G159" i="5"/>
  <c r="F126" i="4"/>
  <c r="G130" i="5"/>
  <c r="G426" i="5"/>
  <c r="G425" i="5" s="1"/>
  <c r="G419" i="5" s="1"/>
  <c r="G9" i="5" s="1"/>
  <c r="E17" i="9"/>
  <c r="E661" i="6"/>
  <c r="E647" i="6" s="1"/>
  <c r="E646" i="6" s="1"/>
  <c r="E645" i="6" s="1"/>
  <c r="G313" i="5"/>
  <c r="F91" i="4"/>
  <c r="G366" i="5"/>
  <c r="G284" i="5"/>
  <c r="F97" i="4"/>
  <c r="F83" i="4"/>
  <c r="G583" i="5"/>
  <c r="D41" i="9"/>
  <c r="D40" i="9" s="1"/>
  <c r="G552" i="5"/>
  <c r="D39" i="9"/>
  <c r="D38" i="9" s="1"/>
  <c r="F169" i="4"/>
  <c r="F170" i="4"/>
  <c r="G463" i="5"/>
  <c r="G455" i="5" s="1"/>
  <c r="G496" i="5" s="1"/>
  <c r="F156" i="4"/>
  <c r="F130" i="4"/>
  <c r="F67" i="4"/>
  <c r="F66" i="4" s="1"/>
  <c r="G12" i="5"/>
  <c r="F115" i="4"/>
  <c r="G606" i="5"/>
  <c r="D43" i="9"/>
  <c r="D42" i="9" s="1"/>
  <c r="G388" i="5"/>
  <c r="G387" i="5" s="1"/>
  <c r="G17" i="9"/>
  <c r="G43" i="1"/>
  <c r="G44" i="5"/>
  <c r="G22" i="5" s="1"/>
  <c r="E584" i="6"/>
  <c r="E570" i="6" s="1"/>
  <c r="E569" i="6" s="1"/>
  <c r="E568" i="6" s="1"/>
  <c r="E533" i="6"/>
  <c r="E532" i="6" s="1"/>
  <c r="E531" i="6" s="1"/>
  <c r="E619" i="6"/>
  <c r="E607" i="6" s="1"/>
  <c r="E606" i="6" s="1"/>
  <c r="E605" i="6" s="1"/>
  <c r="F433" i="6"/>
  <c r="E237" i="6"/>
  <c r="E217" i="6" s="1"/>
  <c r="E216" i="6" s="1"/>
  <c r="E32" i="6"/>
  <c r="E8" i="6" s="1"/>
  <c r="E181" i="6"/>
  <c r="E742" i="6" s="1"/>
  <c r="F17" i="9"/>
  <c r="H243" i="4"/>
  <c r="H242" i="4" s="1"/>
  <c r="G243" i="4"/>
  <c r="G242" i="4" s="1"/>
  <c r="I243" i="4"/>
  <c r="I242" i="4" s="1"/>
  <c r="J542" i="5"/>
  <c r="I542" i="5"/>
  <c r="I534" i="5"/>
  <c r="I533" i="5" s="1"/>
  <c r="H542" i="5"/>
  <c r="J534" i="5"/>
  <c r="J533" i="5" s="1"/>
  <c r="J532" i="5" s="1"/>
  <c r="J524" i="5"/>
  <c r="J523" i="5" s="1"/>
  <c r="J519" i="5" s="1"/>
  <c r="H534" i="5"/>
  <c r="H533" i="5" s="1"/>
  <c r="I524" i="5"/>
  <c r="I523" i="5" s="1"/>
  <c r="H524" i="5"/>
  <c r="H523" i="5" s="1"/>
  <c r="J503" i="5"/>
  <c r="I508" i="5"/>
  <c r="I503" i="5"/>
  <c r="H508" i="5"/>
  <c r="J508" i="5"/>
  <c r="H503" i="5"/>
  <c r="J80" i="5"/>
  <c r="J79" i="5" s="1"/>
  <c r="I80" i="5"/>
  <c r="I79" i="5" s="1"/>
  <c r="I49" i="2"/>
  <c r="J49" i="2"/>
  <c r="H49" i="2"/>
  <c r="J61" i="1"/>
  <c r="I61" i="1"/>
  <c r="H61" i="1"/>
  <c r="I52" i="1"/>
  <c r="J52" i="1"/>
  <c r="H52" i="1"/>
  <c r="J34" i="1"/>
  <c r="I32" i="1"/>
  <c r="I34" i="1"/>
  <c r="H34" i="1"/>
  <c r="G16" i="1" l="1"/>
  <c r="F82" i="4"/>
  <c r="D35" i="9"/>
  <c r="F58" i="4"/>
  <c r="G270" i="5"/>
  <c r="G129" i="5"/>
  <c r="G109" i="5" s="1"/>
  <c r="G244" i="5" s="1"/>
  <c r="D31" i="9" s="1"/>
  <c r="D30" i="9" s="1"/>
  <c r="I10" i="3"/>
  <c r="I9" i="3" s="1"/>
  <c r="G88" i="2"/>
  <c r="G44" i="1"/>
  <c r="D9" i="9"/>
  <c r="D8" i="9" s="1"/>
  <c r="D5" i="9" s="1"/>
  <c r="G11" i="5"/>
  <c r="G607" i="5" s="1"/>
  <c r="F125" i="4"/>
  <c r="G246" i="5"/>
  <c r="G453" i="5" s="1"/>
  <c r="G454" i="5" s="1"/>
  <c r="F96" i="4"/>
  <c r="G517" i="5"/>
  <c r="G553" i="5" s="1"/>
  <c r="D37" i="9"/>
  <c r="D36" i="9" s="1"/>
  <c r="D34" i="9" s="1"/>
  <c r="E741" i="6"/>
  <c r="E743" i="6" s="1"/>
  <c r="E7" i="6"/>
  <c r="I532" i="5"/>
  <c r="J518" i="5"/>
  <c r="H532" i="5"/>
  <c r="H519" i="5"/>
  <c r="I519" i="5"/>
  <c r="I518" i="5" s="1"/>
  <c r="I502" i="5"/>
  <c r="H502" i="5"/>
  <c r="J502" i="5"/>
  <c r="G503" i="6"/>
  <c r="G502" i="6" s="1"/>
  <c r="H503" i="6"/>
  <c r="H502" i="6" s="1"/>
  <c r="F503" i="6"/>
  <c r="F502" i="6" s="1"/>
  <c r="E6" i="6" l="1"/>
  <c r="E5" i="6"/>
  <c r="G245" i="5"/>
  <c r="F81" i="4"/>
  <c r="F57" i="4" s="1"/>
  <c r="F274" i="4" s="1"/>
  <c r="G107" i="5"/>
  <c r="D33" i="9"/>
  <c r="D32" i="9" s="1"/>
  <c r="G8" i="5"/>
  <c r="D29" i="9"/>
  <c r="D28" i="9" s="1"/>
  <c r="G108" i="5"/>
  <c r="H518" i="5"/>
  <c r="H423" i="6"/>
  <c r="G423" i="6"/>
  <c r="F423" i="6"/>
  <c r="I13" i="3" l="1"/>
  <c r="I12" i="3" s="1"/>
  <c r="D27" i="9"/>
  <c r="D10" i="8"/>
  <c r="D13" i="8" s="1"/>
  <c r="F148" i="6"/>
  <c r="F143" i="6"/>
  <c r="F116" i="6"/>
  <c r="F115" i="6"/>
  <c r="F114" i="6"/>
  <c r="F109" i="6"/>
  <c r="F107" i="6"/>
  <c r="F99" i="6"/>
  <c r="F95" i="6"/>
  <c r="F93" i="6"/>
  <c r="F91" i="6"/>
  <c r="F90" i="6"/>
  <c r="F86" i="6"/>
  <c r="F83" i="6"/>
  <c r="F82" i="6"/>
  <c r="F81" i="6"/>
  <c r="F79" i="6"/>
  <c r="F78" i="6"/>
  <c r="F77" i="6"/>
  <c r="F64" i="6"/>
  <c r="F63" i="6"/>
  <c r="F61" i="6"/>
  <c r="F50" i="6"/>
  <c r="F49" i="6"/>
  <c r="F48" i="6"/>
  <c r="F40" i="6"/>
  <c r="F35" i="6"/>
  <c r="D15" i="8" l="1"/>
  <c r="D14" i="8"/>
  <c r="D12" i="8" s="1"/>
  <c r="D11" i="8" s="1"/>
  <c r="F12" i="6"/>
  <c r="F29" i="6"/>
  <c r="F26" i="6"/>
  <c r="F23" i="6"/>
  <c r="H39" i="3"/>
  <c r="F30" i="1"/>
  <c r="C14" i="9"/>
  <c r="E14" i="9"/>
  <c r="F14" i="9"/>
  <c r="G14" i="9"/>
  <c r="B14" i="9"/>
  <c r="C12" i="9"/>
  <c r="B12" i="9"/>
  <c r="E12" i="9"/>
  <c r="H40" i="1"/>
  <c r="H32" i="1" l="1"/>
  <c r="H30" i="1" s="1"/>
  <c r="J32" i="1"/>
  <c r="J30" i="1" s="1"/>
  <c r="I30" i="1"/>
  <c r="G12" i="9"/>
  <c r="F12" i="9"/>
  <c r="J29" i="3"/>
  <c r="F79" i="2" l="1"/>
  <c r="H79" i="2"/>
  <c r="I79" i="2"/>
  <c r="J79" i="2"/>
  <c r="F80" i="2"/>
  <c r="H80" i="2"/>
  <c r="I80" i="2"/>
  <c r="J80" i="2"/>
  <c r="E80" i="2"/>
  <c r="E79" i="2"/>
  <c r="F65" i="2"/>
  <c r="F64" i="2" s="1"/>
  <c r="I65" i="2"/>
  <c r="I64" i="2" s="1"/>
  <c r="J65" i="2"/>
  <c r="J64" i="2" s="1"/>
  <c r="E65" i="2"/>
  <c r="E64" i="2" s="1"/>
  <c r="F62" i="2"/>
  <c r="I62" i="2"/>
  <c r="J62" i="2"/>
  <c r="E62" i="2"/>
  <c r="F59" i="2"/>
  <c r="I59" i="2"/>
  <c r="J59" i="2"/>
  <c r="E59" i="2"/>
  <c r="F54" i="2"/>
  <c r="H54" i="2"/>
  <c r="I54" i="2"/>
  <c r="J54" i="2"/>
  <c r="E54" i="2"/>
  <c r="F30" i="2"/>
  <c r="H29" i="2"/>
  <c r="I29" i="2"/>
  <c r="J29" i="2"/>
  <c r="E30" i="2"/>
  <c r="E16" i="2"/>
  <c r="E41" i="2"/>
  <c r="F41" i="2"/>
  <c r="I41" i="2"/>
  <c r="J41" i="2"/>
  <c r="H41" i="2"/>
  <c r="F47" i="1"/>
  <c r="F46" i="1" s="1"/>
  <c r="H47" i="1"/>
  <c r="H46" i="1" s="1"/>
  <c r="I47" i="1"/>
  <c r="I46" i="1" s="1"/>
  <c r="J47" i="1"/>
  <c r="J46" i="1" s="1"/>
  <c r="E47" i="1"/>
  <c r="E46" i="1" s="1"/>
  <c r="F100" i="1"/>
  <c r="H100" i="1"/>
  <c r="I100" i="1"/>
  <c r="J100" i="1"/>
  <c r="E100" i="1"/>
  <c r="F103" i="1"/>
  <c r="H103" i="1"/>
  <c r="I103" i="1"/>
  <c r="J103" i="1"/>
  <c r="E103" i="1"/>
  <c r="J40" i="1"/>
  <c r="J39" i="1" s="1"/>
  <c r="I40" i="1"/>
  <c r="I39" i="1" s="1"/>
  <c r="H39" i="1"/>
  <c r="F39" i="1"/>
  <c r="E39" i="1"/>
  <c r="J33" i="1"/>
  <c r="J29" i="1" s="1"/>
  <c r="J28" i="1" s="1"/>
  <c r="I33" i="1"/>
  <c r="I29" i="1" s="1"/>
  <c r="I28" i="1" s="1"/>
  <c r="F33" i="1"/>
  <c r="F29" i="1" s="1"/>
  <c r="F28" i="1" s="1"/>
  <c r="H33" i="1"/>
  <c r="H29" i="1" s="1"/>
  <c r="H28" i="1" s="1"/>
  <c r="E33" i="1"/>
  <c r="E30" i="1"/>
  <c r="F29" i="2" l="1"/>
  <c r="E29" i="2"/>
  <c r="J20" i="1"/>
  <c r="I20" i="1"/>
  <c r="H20" i="1"/>
  <c r="J54" i="1"/>
  <c r="I54" i="1"/>
  <c r="H54" i="1"/>
  <c r="J40" i="2"/>
  <c r="F40" i="2"/>
  <c r="H40" i="2"/>
  <c r="I40" i="2"/>
  <c r="E40" i="2"/>
  <c r="F23" i="1"/>
  <c r="H23" i="1"/>
  <c r="I23" i="1"/>
  <c r="J23" i="1"/>
  <c r="E23" i="1"/>
  <c r="E29" i="1"/>
  <c r="F33" i="2"/>
  <c r="F32" i="2" s="1"/>
  <c r="H33" i="2"/>
  <c r="H32" i="2" s="1"/>
  <c r="I33" i="2"/>
  <c r="I32" i="2" s="1"/>
  <c r="J33" i="2"/>
  <c r="J32" i="2" s="1"/>
  <c r="E33" i="2"/>
  <c r="E32" i="2" s="1"/>
  <c r="F78" i="2"/>
  <c r="F77" i="2" s="1"/>
  <c r="H78" i="2"/>
  <c r="H77" i="2" s="1"/>
  <c r="I78" i="2"/>
  <c r="I77" i="2" s="1"/>
  <c r="J78" i="2"/>
  <c r="J77" i="2" s="1"/>
  <c r="E78" i="2"/>
  <c r="E77" i="2" s="1"/>
  <c r="F55" i="2"/>
  <c r="F53" i="2" s="1"/>
  <c r="H55" i="2"/>
  <c r="H53" i="2" s="1"/>
  <c r="I55" i="2"/>
  <c r="I53" i="2" s="1"/>
  <c r="J55" i="2"/>
  <c r="J53" i="2" s="1"/>
  <c r="E55" i="2"/>
  <c r="E53" i="2" s="1"/>
  <c r="F44" i="2"/>
  <c r="F43" i="2" s="1"/>
  <c r="F42" i="2" s="1"/>
  <c r="H44" i="2"/>
  <c r="H43" i="2" s="1"/>
  <c r="H42" i="2" s="1"/>
  <c r="I44" i="2"/>
  <c r="I43" i="2" s="1"/>
  <c r="I42" i="2" s="1"/>
  <c r="J44" i="2"/>
  <c r="J43" i="2" s="1"/>
  <c r="J42" i="2" s="1"/>
  <c r="E44" i="2"/>
  <c r="E43" i="2" s="1"/>
  <c r="E42" i="2" s="1"/>
  <c r="F28" i="2"/>
  <c r="H28" i="2"/>
  <c r="I28" i="2"/>
  <c r="J28" i="2"/>
  <c r="E28" i="2"/>
  <c r="F85" i="2"/>
  <c r="F84" i="2" s="1"/>
  <c r="H85" i="2"/>
  <c r="H84" i="2" s="1"/>
  <c r="I85" i="2"/>
  <c r="I84" i="2" s="1"/>
  <c r="J85" i="2"/>
  <c r="J84" i="2" s="1"/>
  <c r="E85" i="2"/>
  <c r="E84" i="2" s="1"/>
  <c r="F115" i="1"/>
  <c r="H115" i="1"/>
  <c r="I115" i="1"/>
  <c r="J115" i="1"/>
  <c r="E115" i="1"/>
  <c r="F26" i="1" l="1"/>
  <c r="F25" i="1" s="1"/>
  <c r="H26" i="1"/>
  <c r="H25" i="1" s="1"/>
  <c r="I26" i="1"/>
  <c r="I25" i="1" s="1"/>
  <c r="J26" i="1"/>
  <c r="J25" i="1" s="1"/>
  <c r="E26" i="1"/>
  <c r="E25" i="1" s="1"/>
  <c r="F82" i="1"/>
  <c r="H82" i="1"/>
  <c r="I82" i="1"/>
  <c r="J82" i="1"/>
  <c r="E82" i="1"/>
  <c r="F93" i="1"/>
  <c r="H93" i="1"/>
  <c r="H92" i="1" s="1"/>
  <c r="I93" i="1"/>
  <c r="I92" i="1" s="1"/>
  <c r="J93" i="1"/>
  <c r="J92" i="1" s="1"/>
  <c r="E93" i="1"/>
  <c r="G643" i="6" l="1"/>
  <c r="G642" i="6" s="1"/>
  <c r="H643" i="6"/>
  <c r="H642" i="6" s="1"/>
  <c r="G326" i="6"/>
  <c r="G325" i="6" s="1"/>
  <c r="H326" i="6"/>
  <c r="H325" i="6" s="1"/>
  <c r="G304" i="6"/>
  <c r="I198" i="5" s="1"/>
  <c r="H304" i="6"/>
  <c r="J198" i="5" s="1"/>
  <c r="G290" i="6"/>
  <c r="G287" i="6" s="1"/>
  <c r="H290" i="6"/>
  <c r="H287" i="6" s="1"/>
  <c r="G281" i="6"/>
  <c r="H281" i="6"/>
  <c r="H280" i="6" s="1"/>
  <c r="G242" i="6"/>
  <c r="I134" i="5" s="1"/>
  <c r="H242" i="6"/>
  <c r="H239" i="6" s="1"/>
  <c r="G139" i="6"/>
  <c r="H139" i="6"/>
  <c r="F486" i="5"/>
  <c r="E486" i="5"/>
  <c r="F466" i="5"/>
  <c r="E466" i="5"/>
  <c r="F459" i="5"/>
  <c r="E459" i="5"/>
  <c r="F253" i="6"/>
  <c r="F221" i="6"/>
  <c r="F158" i="6"/>
  <c r="F155" i="6" s="1"/>
  <c r="F21" i="6"/>
  <c r="D682" i="6"/>
  <c r="D681" i="6" s="1"/>
  <c r="F682" i="6"/>
  <c r="F681" i="6" s="1"/>
  <c r="G682" i="6"/>
  <c r="G681" i="6" s="1"/>
  <c r="H682" i="6"/>
  <c r="H681" i="6" s="1"/>
  <c r="C682" i="6"/>
  <c r="C681" i="6" s="1"/>
  <c r="G677" i="6"/>
  <c r="H677" i="6"/>
  <c r="D675" i="6"/>
  <c r="F675" i="6"/>
  <c r="G675" i="6"/>
  <c r="H675" i="6"/>
  <c r="C675" i="6"/>
  <c r="D669" i="6"/>
  <c r="F669" i="6"/>
  <c r="G669" i="6"/>
  <c r="H669" i="6"/>
  <c r="C669" i="6"/>
  <c r="H679" i="6"/>
  <c r="G679" i="6"/>
  <c r="F679" i="6"/>
  <c r="D679" i="6"/>
  <c r="C679" i="6"/>
  <c r="F677" i="6"/>
  <c r="D677" i="6"/>
  <c r="C677" i="6"/>
  <c r="H672" i="6"/>
  <c r="G672" i="6"/>
  <c r="F672" i="6"/>
  <c r="D672" i="6"/>
  <c r="C672" i="6"/>
  <c r="H667" i="6"/>
  <c r="G667" i="6"/>
  <c r="F667" i="6"/>
  <c r="D667" i="6"/>
  <c r="C667" i="6"/>
  <c r="H663" i="6"/>
  <c r="G663" i="6"/>
  <c r="F663" i="6"/>
  <c r="D663" i="6"/>
  <c r="C663" i="6"/>
  <c r="H659" i="6"/>
  <c r="H658" i="6" s="1"/>
  <c r="G659" i="6"/>
  <c r="G658" i="6" s="1"/>
  <c r="F659" i="6"/>
  <c r="F658" i="6" s="1"/>
  <c r="D659" i="6"/>
  <c r="C659" i="6"/>
  <c r="H653" i="6"/>
  <c r="H652" i="6" s="1"/>
  <c r="G653" i="6"/>
  <c r="G652" i="6" s="1"/>
  <c r="F653" i="6"/>
  <c r="F652" i="6" s="1"/>
  <c r="D653" i="6"/>
  <c r="D652" i="6" s="1"/>
  <c r="C653" i="6"/>
  <c r="C652" i="6" s="1"/>
  <c r="H650" i="6"/>
  <c r="H649" i="6" s="1"/>
  <c r="G650" i="6"/>
  <c r="G649" i="6" s="1"/>
  <c r="F650" i="6"/>
  <c r="F649" i="6" s="1"/>
  <c r="D650" i="6"/>
  <c r="D649" i="6" s="1"/>
  <c r="C650" i="6"/>
  <c r="C649" i="6" s="1"/>
  <c r="F470" i="5"/>
  <c r="E470" i="5"/>
  <c r="F462" i="5"/>
  <c r="E462" i="5"/>
  <c r="F39" i="5"/>
  <c r="H39" i="5"/>
  <c r="I39" i="5"/>
  <c r="J39" i="5"/>
  <c r="E39" i="5"/>
  <c r="F28" i="5"/>
  <c r="F27" i="5" s="1"/>
  <c r="H27" i="5"/>
  <c r="I27" i="5"/>
  <c r="J27" i="5"/>
  <c r="E28" i="5"/>
  <c r="E27" i="5" s="1"/>
  <c r="F26" i="5"/>
  <c r="H26" i="5"/>
  <c r="I26" i="5"/>
  <c r="J26" i="5"/>
  <c r="E26" i="5"/>
  <c r="F25" i="5"/>
  <c r="H25" i="5"/>
  <c r="I25" i="5"/>
  <c r="J25" i="5"/>
  <c r="E25" i="5"/>
  <c r="H559" i="6"/>
  <c r="G559" i="6"/>
  <c r="F559" i="6"/>
  <c r="D559" i="6"/>
  <c r="C559" i="6"/>
  <c r="H557" i="6"/>
  <c r="H556" i="6" s="1"/>
  <c r="G557" i="6"/>
  <c r="G556" i="6" s="1"/>
  <c r="F557" i="6"/>
  <c r="F556" i="6" s="1"/>
  <c r="D557" i="6"/>
  <c r="D556" i="6" s="1"/>
  <c r="C557" i="6"/>
  <c r="C556" i="6" s="1"/>
  <c r="D552" i="6"/>
  <c r="D551" i="6" s="1"/>
  <c r="F552" i="6"/>
  <c r="F551" i="6" s="1"/>
  <c r="G552" i="6"/>
  <c r="G551" i="6" s="1"/>
  <c r="H552" i="6"/>
  <c r="H551" i="6" s="1"/>
  <c r="C552" i="6"/>
  <c r="C551" i="6" s="1"/>
  <c r="D545" i="6"/>
  <c r="F545" i="6"/>
  <c r="G545" i="6"/>
  <c r="H545" i="6"/>
  <c r="C545" i="6"/>
  <c r="D549" i="6"/>
  <c r="F549" i="6"/>
  <c r="G549" i="6"/>
  <c r="H549" i="6"/>
  <c r="C549" i="6"/>
  <c r="H554" i="6"/>
  <c r="G554" i="6"/>
  <c r="F554" i="6"/>
  <c r="D554" i="6"/>
  <c r="C554" i="6"/>
  <c r="H541" i="6"/>
  <c r="H540" i="6" s="1"/>
  <c r="G541" i="6"/>
  <c r="G540" i="6" s="1"/>
  <c r="F541" i="6"/>
  <c r="F540" i="6" s="1"/>
  <c r="D541" i="6"/>
  <c r="D540" i="6" s="1"/>
  <c r="C541" i="6"/>
  <c r="C540" i="6" s="1"/>
  <c r="H538" i="6"/>
  <c r="G538" i="6"/>
  <c r="F538" i="6"/>
  <c r="D538" i="6"/>
  <c r="C538" i="6"/>
  <c r="H536" i="6"/>
  <c r="H535" i="6" s="1"/>
  <c r="G536" i="6"/>
  <c r="G535" i="6" s="1"/>
  <c r="F536" i="6"/>
  <c r="F535" i="6" s="1"/>
  <c r="D536" i="6"/>
  <c r="D535" i="6" s="1"/>
  <c r="C536" i="6"/>
  <c r="C535" i="6" s="1"/>
  <c r="F102" i="5"/>
  <c r="E267" i="4" s="1"/>
  <c r="E266" i="4" s="1"/>
  <c r="H101" i="5"/>
  <c r="H100" i="5" s="1"/>
  <c r="H266" i="4"/>
  <c r="J101" i="5"/>
  <c r="J100" i="5" s="1"/>
  <c r="E102" i="5"/>
  <c r="E101" i="5" s="1"/>
  <c r="E100" i="5" s="1"/>
  <c r="F84" i="5"/>
  <c r="E84" i="5"/>
  <c r="F85" i="5"/>
  <c r="E85" i="5"/>
  <c r="F94" i="5"/>
  <c r="E94" i="5"/>
  <c r="F92" i="5"/>
  <c r="E92" i="5"/>
  <c r="E58" i="5"/>
  <c r="F106" i="5"/>
  <c r="E106" i="5"/>
  <c r="F99" i="5"/>
  <c r="F98" i="5" s="1"/>
  <c r="F97" i="5" s="1"/>
  <c r="H98" i="5"/>
  <c r="H97" i="5" s="1"/>
  <c r="I98" i="5"/>
  <c r="I97" i="5" s="1"/>
  <c r="J98" i="5"/>
  <c r="J97" i="5" s="1"/>
  <c r="E99" i="5"/>
  <c r="E98" i="5" s="1"/>
  <c r="E97" i="5" s="1"/>
  <c r="F90" i="5"/>
  <c r="E90" i="5"/>
  <c r="F87" i="5"/>
  <c r="F86" i="5" s="1"/>
  <c r="G250" i="4"/>
  <c r="H250" i="4"/>
  <c r="J86" i="5"/>
  <c r="E87" i="5"/>
  <c r="E86" i="5" s="1"/>
  <c r="F77" i="5"/>
  <c r="E240" i="4" s="1"/>
  <c r="E239" i="4" s="1"/>
  <c r="E238" i="4" s="1"/>
  <c r="G239" i="4"/>
  <c r="G238" i="4" s="1"/>
  <c r="H239" i="4"/>
  <c r="H238" i="4" s="1"/>
  <c r="J76" i="5"/>
  <c r="J75" i="5" s="1"/>
  <c r="J74" i="5" s="1"/>
  <c r="E77" i="5"/>
  <c r="D240" i="4" s="1"/>
  <c r="D239" i="4" s="1"/>
  <c r="F58" i="5"/>
  <c r="F51" i="5"/>
  <c r="E51" i="5"/>
  <c r="F50" i="5"/>
  <c r="E50" i="5"/>
  <c r="F49" i="5"/>
  <c r="E49" i="5"/>
  <c r="F48" i="5"/>
  <c r="E48" i="5"/>
  <c r="F43" i="5"/>
  <c r="E43" i="5"/>
  <c r="F42" i="5"/>
  <c r="E42" i="5"/>
  <c r="F41" i="5"/>
  <c r="E41" i="5"/>
  <c r="F592" i="5"/>
  <c r="H592" i="5"/>
  <c r="H591" i="5" s="1"/>
  <c r="H589" i="5" s="1"/>
  <c r="I592" i="5"/>
  <c r="I591" i="5" s="1"/>
  <c r="I589" i="5" s="1"/>
  <c r="J592" i="5"/>
  <c r="J591" i="5" s="1"/>
  <c r="J589" i="5" s="1"/>
  <c r="E592" i="5"/>
  <c r="E591" i="5" s="1"/>
  <c r="E589" i="5" s="1"/>
  <c r="D419" i="6"/>
  <c r="D417" i="6" s="1"/>
  <c r="F419" i="6"/>
  <c r="F417" i="6" s="1"/>
  <c r="G419" i="6"/>
  <c r="G417" i="6" s="1"/>
  <c r="H419" i="6"/>
  <c r="H417" i="6" s="1"/>
  <c r="C419" i="6"/>
  <c r="C417" i="6" s="1"/>
  <c r="F570" i="5"/>
  <c r="F569" i="5" s="1"/>
  <c r="F568" i="5" s="1"/>
  <c r="H570" i="5"/>
  <c r="H569" i="5" s="1"/>
  <c r="H568" i="5" s="1"/>
  <c r="I570" i="5"/>
  <c r="I569" i="5" s="1"/>
  <c r="I568" i="5" s="1"/>
  <c r="J570" i="5"/>
  <c r="J569" i="5" s="1"/>
  <c r="J568" i="5" s="1"/>
  <c r="E570" i="5"/>
  <c r="E569" i="5" s="1"/>
  <c r="E568" i="5" s="1"/>
  <c r="D403" i="6"/>
  <c r="D402" i="6" s="1"/>
  <c r="F403" i="6"/>
  <c r="F402" i="6" s="1"/>
  <c r="G403" i="6"/>
  <c r="G402" i="6" s="1"/>
  <c r="H403" i="6"/>
  <c r="H402" i="6" s="1"/>
  <c r="C403" i="6"/>
  <c r="C402" i="6" s="1"/>
  <c r="F221" i="5"/>
  <c r="F220" i="5" s="1"/>
  <c r="H221" i="5"/>
  <c r="H220" i="5" s="1"/>
  <c r="H219" i="5" s="1"/>
  <c r="I221" i="5"/>
  <c r="I220" i="5" s="1"/>
  <c r="I219" i="5" s="1"/>
  <c r="J221" i="5"/>
  <c r="J220" i="5" s="1"/>
  <c r="J219" i="5" s="1"/>
  <c r="E221" i="5"/>
  <c r="E220" i="5" s="1"/>
  <c r="D326" i="6"/>
  <c r="F326" i="6"/>
  <c r="F325" i="6" s="1"/>
  <c r="C326" i="6"/>
  <c r="F212" i="5"/>
  <c r="F211" i="5" s="1"/>
  <c r="H212" i="5"/>
  <c r="H211" i="5" s="1"/>
  <c r="I212" i="5"/>
  <c r="I211" i="5" s="1"/>
  <c r="J212" i="5"/>
  <c r="J211" i="5" s="1"/>
  <c r="E212" i="5"/>
  <c r="E211" i="5" s="1"/>
  <c r="D317" i="6"/>
  <c r="F317" i="6"/>
  <c r="G317" i="6"/>
  <c r="H317" i="6"/>
  <c r="C317" i="6"/>
  <c r="F208" i="5"/>
  <c r="F207" i="5" s="1"/>
  <c r="H208" i="5"/>
  <c r="H207" i="5" s="1"/>
  <c r="I208" i="5"/>
  <c r="I207" i="5" s="1"/>
  <c r="J208" i="5"/>
  <c r="J207" i="5" s="1"/>
  <c r="E208" i="5"/>
  <c r="E207" i="5" s="1"/>
  <c r="F153" i="6"/>
  <c r="F151" i="6" s="1"/>
  <c r="D313" i="6"/>
  <c r="F313" i="6"/>
  <c r="G313" i="6"/>
  <c r="H313" i="6"/>
  <c r="C313" i="6"/>
  <c r="F202" i="5"/>
  <c r="E195" i="4" s="1"/>
  <c r="H202" i="5"/>
  <c r="H201" i="5" s="1"/>
  <c r="I202" i="5"/>
  <c r="H195" i="4" s="1"/>
  <c r="J202" i="5"/>
  <c r="J201" i="5" s="1"/>
  <c r="E202" i="5"/>
  <c r="D195" i="4" s="1"/>
  <c r="D307" i="6"/>
  <c r="F307" i="6"/>
  <c r="G307" i="6"/>
  <c r="H307" i="6"/>
  <c r="C307" i="6"/>
  <c r="F200" i="5"/>
  <c r="F199" i="5" s="1"/>
  <c r="H200" i="5"/>
  <c r="H199" i="5" s="1"/>
  <c r="I200" i="5"/>
  <c r="I199" i="5" s="1"/>
  <c r="J200" i="5"/>
  <c r="J199" i="5" s="1"/>
  <c r="E200" i="5"/>
  <c r="E199" i="5" s="1"/>
  <c r="D305" i="6"/>
  <c r="F305" i="6"/>
  <c r="G305" i="6"/>
  <c r="H305" i="6"/>
  <c r="C305" i="6"/>
  <c r="F198" i="5"/>
  <c r="E198" i="5"/>
  <c r="F304" i="6"/>
  <c r="F303" i="6" s="1"/>
  <c r="D303" i="6"/>
  <c r="C303" i="6"/>
  <c r="F192" i="5"/>
  <c r="F191" i="5" s="1"/>
  <c r="H192" i="5"/>
  <c r="H191" i="5" s="1"/>
  <c r="I192" i="5"/>
  <c r="I191" i="5" s="1"/>
  <c r="J192" i="5"/>
  <c r="J191" i="5" s="1"/>
  <c r="E192" i="5"/>
  <c r="E191" i="5" s="1"/>
  <c r="F190" i="5"/>
  <c r="F189" i="5" s="1"/>
  <c r="H190" i="5"/>
  <c r="H189" i="5" s="1"/>
  <c r="I190" i="5"/>
  <c r="I189" i="5" s="1"/>
  <c r="J190" i="5"/>
  <c r="J189" i="5" s="1"/>
  <c r="E190" i="5"/>
  <c r="E189" i="5" s="1"/>
  <c r="D295" i="6"/>
  <c r="F526" i="5" s="1"/>
  <c r="F295" i="6"/>
  <c r="G295" i="6"/>
  <c r="H295" i="6"/>
  <c r="C295" i="6"/>
  <c r="E526" i="5" s="1"/>
  <c r="D297" i="6"/>
  <c r="F297" i="6"/>
  <c r="G297" i="6"/>
  <c r="H297" i="6"/>
  <c r="C297" i="6"/>
  <c r="F182" i="5"/>
  <c r="H182" i="5"/>
  <c r="I182" i="5"/>
  <c r="J182" i="5"/>
  <c r="F183" i="5"/>
  <c r="H183" i="5"/>
  <c r="I183" i="5"/>
  <c r="J183" i="5"/>
  <c r="E183" i="5"/>
  <c r="E182" i="5"/>
  <c r="F290" i="6"/>
  <c r="F287" i="6" s="1"/>
  <c r="D287" i="6"/>
  <c r="C287" i="6"/>
  <c r="F179" i="5"/>
  <c r="E162" i="4" s="1"/>
  <c r="H179" i="5"/>
  <c r="G162" i="4" s="1"/>
  <c r="I179" i="5"/>
  <c r="H162" i="4" s="1"/>
  <c r="J179" i="5"/>
  <c r="I162" i="4" s="1"/>
  <c r="F180" i="5"/>
  <c r="H180" i="5"/>
  <c r="I180" i="5"/>
  <c r="J180" i="5"/>
  <c r="E180" i="5"/>
  <c r="E179" i="5"/>
  <c r="D162" i="4" s="1"/>
  <c r="D284" i="6"/>
  <c r="F284" i="6"/>
  <c r="G284" i="6"/>
  <c r="H284" i="6"/>
  <c r="C284" i="6"/>
  <c r="F176" i="5"/>
  <c r="H176" i="5"/>
  <c r="I176" i="5"/>
  <c r="J176" i="5"/>
  <c r="F177" i="5"/>
  <c r="H177" i="5"/>
  <c r="I177" i="5"/>
  <c r="J177" i="5"/>
  <c r="E177" i="5"/>
  <c r="E176" i="5"/>
  <c r="F281" i="6"/>
  <c r="F280" i="6" s="1"/>
  <c r="D280" i="6"/>
  <c r="G280" i="6"/>
  <c r="C280" i="6"/>
  <c r="F169" i="5"/>
  <c r="H169" i="5"/>
  <c r="I169" i="5"/>
  <c r="H136" i="4" s="1"/>
  <c r="J169" i="5"/>
  <c r="E169" i="5"/>
  <c r="D274" i="6"/>
  <c r="F274" i="6"/>
  <c r="G274" i="6"/>
  <c r="H274" i="6"/>
  <c r="C274" i="6"/>
  <c r="F161" i="5"/>
  <c r="H161" i="5"/>
  <c r="I161" i="5"/>
  <c r="J161" i="5"/>
  <c r="F162" i="5"/>
  <c r="H162" i="5"/>
  <c r="I162" i="5"/>
  <c r="J162" i="5"/>
  <c r="F163" i="5"/>
  <c r="H163" i="5"/>
  <c r="I163" i="5"/>
  <c r="J163" i="5"/>
  <c r="E162" i="5"/>
  <c r="E163" i="5"/>
  <c r="E161" i="5"/>
  <c r="D266" i="6"/>
  <c r="F266" i="6"/>
  <c r="G266" i="6"/>
  <c r="H266" i="6"/>
  <c r="C266" i="6"/>
  <c r="F155" i="5"/>
  <c r="H155" i="5"/>
  <c r="I155" i="5"/>
  <c r="J155" i="5"/>
  <c r="F156" i="5"/>
  <c r="H156" i="5"/>
  <c r="I156" i="5"/>
  <c r="J156" i="5"/>
  <c r="E156" i="5"/>
  <c r="E155" i="5"/>
  <c r="D261" i="6"/>
  <c r="F261" i="6"/>
  <c r="G261" i="6"/>
  <c r="H261" i="6"/>
  <c r="C261" i="6"/>
  <c r="F140" i="5"/>
  <c r="H140" i="5"/>
  <c r="I140" i="5"/>
  <c r="J140" i="5"/>
  <c r="E140" i="5"/>
  <c r="D247" i="6"/>
  <c r="F247" i="6"/>
  <c r="G247" i="6"/>
  <c r="H247" i="6"/>
  <c r="C247" i="6"/>
  <c r="F138" i="5"/>
  <c r="E90" i="4" s="1"/>
  <c r="H138" i="5"/>
  <c r="G90" i="4" s="1"/>
  <c r="I138" i="5"/>
  <c r="H90" i="4" s="1"/>
  <c r="J138" i="5"/>
  <c r="I90" i="4" s="1"/>
  <c r="E138" i="5"/>
  <c r="D90" i="4" s="1"/>
  <c r="C244" i="6"/>
  <c r="D244" i="6"/>
  <c r="G244" i="6"/>
  <c r="H244" i="6"/>
  <c r="F245" i="6"/>
  <c r="F244" i="6" s="1"/>
  <c r="F132" i="5"/>
  <c r="H132" i="5"/>
  <c r="I132" i="5"/>
  <c r="J132" i="5"/>
  <c r="F133" i="5"/>
  <c r="H133" i="5"/>
  <c r="I133" i="5"/>
  <c r="J133" i="5"/>
  <c r="F134" i="5"/>
  <c r="F135" i="5"/>
  <c r="H135" i="5"/>
  <c r="I135" i="5"/>
  <c r="J135" i="5"/>
  <c r="E135" i="5"/>
  <c r="E134" i="5"/>
  <c r="E133" i="5"/>
  <c r="E132" i="5"/>
  <c r="C239" i="6"/>
  <c r="F242" i="6"/>
  <c r="H134" i="5" s="1"/>
  <c r="D239" i="6"/>
  <c r="F236" i="6"/>
  <c r="F120" i="5"/>
  <c r="H120" i="5"/>
  <c r="I120" i="5"/>
  <c r="J120" i="5"/>
  <c r="F121" i="5"/>
  <c r="H121" i="5"/>
  <c r="I121" i="5"/>
  <c r="J121" i="5"/>
  <c r="F122" i="5"/>
  <c r="H122" i="5"/>
  <c r="I122" i="5"/>
  <c r="J122" i="5"/>
  <c r="F123" i="5"/>
  <c r="H123" i="5"/>
  <c r="I123" i="5"/>
  <c r="J123" i="5"/>
  <c r="F124" i="5"/>
  <c r="H124" i="5"/>
  <c r="G73" i="4" s="1"/>
  <c r="I124" i="5"/>
  <c r="H73" i="4" s="1"/>
  <c r="J124" i="5"/>
  <c r="I73" i="4" s="1"/>
  <c r="E124" i="5"/>
  <c r="E123" i="5"/>
  <c r="E122" i="5"/>
  <c r="E121" i="5"/>
  <c r="E120" i="5"/>
  <c r="F233" i="6"/>
  <c r="F227" i="6" s="1"/>
  <c r="D227" i="6"/>
  <c r="G227" i="6"/>
  <c r="H227" i="6"/>
  <c r="C227" i="6"/>
  <c r="F177" i="6"/>
  <c r="F390" i="5"/>
  <c r="H390" i="5"/>
  <c r="G205" i="4" s="1"/>
  <c r="I390" i="5"/>
  <c r="H205" i="4" s="1"/>
  <c r="J390" i="5"/>
  <c r="E390" i="5"/>
  <c r="D205" i="4" s="1"/>
  <c r="D151" i="6"/>
  <c r="G151" i="6"/>
  <c r="H151" i="6"/>
  <c r="C151" i="6"/>
  <c r="F378" i="5"/>
  <c r="E192" i="4" s="1"/>
  <c r="H378" i="5"/>
  <c r="I378" i="5"/>
  <c r="H192" i="4" s="1"/>
  <c r="J378" i="5"/>
  <c r="E378" i="5"/>
  <c r="D139" i="6"/>
  <c r="C139" i="6"/>
  <c r="F142" i="6"/>
  <c r="F141" i="6"/>
  <c r="F138" i="6"/>
  <c r="F134" i="6"/>
  <c r="F133" i="6"/>
  <c r="F132" i="6"/>
  <c r="F130" i="6"/>
  <c r="F336" i="5"/>
  <c r="E149" i="4" s="1"/>
  <c r="H336" i="5"/>
  <c r="G149" i="4" s="1"/>
  <c r="I336" i="5"/>
  <c r="H149" i="4" s="1"/>
  <c r="J336" i="5"/>
  <c r="I149" i="4" s="1"/>
  <c r="E336" i="5"/>
  <c r="D149" i="4" s="1"/>
  <c r="F335" i="5"/>
  <c r="H335" i="5"/>
  <c r="G148" i="4" s="1"/>
  <c r="I335" i="5"/>
  <c r="H148" i="4" s="1"/>
  <c r="J335" i="5"/>
  <c r="E335" i="5"/>
  <c r="F365" i="5"/>
  <c r="H365" i="5"/>
  <c r="I365" i="5"/>
  <c r="J365" i="5"/>
  <c r="J364" i="5" s="1"/>
  <c r="E365" i="5"/>
  <c r="E364" i="5" s="1"/>
  <c r="F363" i="5"/>
  <c r="H363" i="5"/>
  <c r="I363" i="5"/>
  <c r="J363" i="5"/>
  <c r="J362" i="5" s="1"/>
  <c r="E363" i="5"/>
  <c r="E362" i="5" s="1"/>
  <c r="D126" i="6"/>
  <c r="F126" i="6"/>
  <c r="G126" i="6"/>
  <c r="H126" i="6"/>
  <c r="D124" i="6"/>
  <c r="F124" i="6"/>
  <c r="G124" i="6"/>
  <c r="H124" i="6"/>
  <c r="C126" i="6"/>
  <c r="C124" i="6"/>
  <c r="F351" i="5"/>
  <c r="H351" i="5"/>
  <c r="I351" i="5"/>
  <c r="J351" i="5"/>
  <c r="E351" i="5"/>
  <c r="F123" i="6"/>
  <c r="F122" i="6"/>
  <c r="D112" i="6"/>
  <c r="F112" i="6"/>
  <c r="G112" i="6"/>
  <c r="H112" i="6"/>
  <c r="C112" i="6"/>
  <c r="F106" i="6"/>
  <c r="F339" i="5"/>
  <c r="E152" i="4" s="1"/>
  <c r="H339" i="5"/>
  <c r="G152" i="4" s="1"/>
  <c r="I339" i="5"/>
  <c r="J339" i="5"/>
  <c r="F340" i="5"/>
  <c r="E153" i="4" s="1"/>
  <c r="H340" i="5"/>
  <c r="G153" i="4" s="1"/>
  <c r="I340" i="5"/>
  <c r="H153" i="4" s="1"/>
  <c r="J340" i="5"/>
  <c r="I153" i="4" s="1"/>
  <c r="F341" i="5"/>
  <c r="E154" i="4" s="1"/>
  <c r="H341" i="5"/>
  <c r="G154" i="4" s="1"/>
  <c r="I341" i="5"/>
  <c r="H154" i="4" s="1"/>
  <c r="J341" i="5"/>
  <c r="I154" i="4" s="1"/>
  <c r="E341" i="5"/>
  <c r="D154" i="4" s="1"/>
  <c r="E340" i="5"/>
  <c r="D153" i="4" s="1"/>
  <c r="E339" i="5"/>
  <c r="D152" i="4" s="1"/>
  <c r="C100" i="6"/>
  <c r="F104" i="6"/>
  <c r="F100" i="6" s="1"/>
  <c r="D100" i="6"/>
  <c r="G100" i="6"/>
  <c r="H100" i="6"/>
  <c r="D96" i="6"/>
  <c r="F96" i="6"/>
  <c r="G96" i="6"/>
  <c r="H96" i="6"/>
  <c r="C96" i="6"/>
  <c r="E329" i="5"/>
  <c r="D142" i="4" s="1"/>
  <c r="F329" i="5"/>
  <c r="E142" i="4" s="1"/>
  <c r="E330" i="5"/>
  <c r="D143" i="4" s="1"/>
  <c r="F330" i="5"/>
  <c r="E143" i="4" s="1"/>
  <c r="E331" i="5"/>
  <c r="F331" i="5"/>
  <c r="E332" i="5"/>
  <c r="D145" i="4" s="1"/>
  <c r="F332" i="5"/>
  <c r="E145" i="4" s="1"/>
  <c r="I329" i="5"/>
  <c r="H142" i="4" s="1"/>
  <c r="J329" i="5"/>
  <c r="I142" i="4" s="1"/>
  <c r="I330" i="5"/>
  <c r="H143" i="4" s="1"/>
  <c r="J330" i="5"/>
  <c r="I143" i="4" s="1"/>
  <c r="I331" i="5"/>
  <c r="J331" i="5"/>
  <c r="I332" i="5"/>
  <c r="H145" i="4" s="1"/>
  <c r="J332" i="5"/>
  <c r="I145" i="4" s="1"/>
  <c r="H332" i="5"/>
  <c r="G145" i="4" s="1"/>
  <c r="H331" i="5"/>
  <c r="H330" i="5"/>
  <c r="G143" i="4" s="1"/>
  <c r="H329" i="5"/>
  <c r="G142" i="4" s="1"/>
  <c r="F89" i="6"/>
  <c r="F88" i="6"/>
  <c r="F322" i="5"/>
  <c r="H322" i="5"/>
  <c r="I322" i="5"/>
  <c r="J322" i="5"/>
  <c r="E322" i="5"/>
  <c r="H80" i="6"/>
  <c r="G80" i="6"/>
  <c r="F80" i="6"/>
  <c r="D80" i="6"/>
  <c r="C80" i="6"/>
  <c r="F74" i="6"/>
  <c r="E310" i="5"/>
  <c r="F310" i="5"/>
  <c r="I310" i="5"/>
  <c r="J310" i="5"/>
  <c r="H310" i="5"/>
  <c r="C70" i="6"/>
  <c r="D70" i="6"/>
  <c r="G70" i="6"/>
  <c r="H70" i="6"/>
  <c r="F71" i="6"/>
  <c r="F70" i="6" s="1"/>
  <c r="F69" i="6"/>
  <c r="F68" i="6"/>
  <c r="F295" i="5"/>
  <c r="E107" i="4" s="1"/>
  <c r="E295" i="5"/>
  <c r="D107" i="4" s="1"/>
  <c r="F294" i="5"/>
  <c r="E106" i="4" s="1"/>
  <c r="E294" i="5"/>
  <c r="D106" i="4" s="1"/>
  <c r="I294" i="5"/>
  <c r="H106" i="4" s="1"/>
  <c r="J294" i="5"/>
  <c r="I106" i="4" s="1"/>
  <c r="I295" i="5"/>
  <c r="H107" i="4" s="1"/>
  <c r="J295" i="5"/>
  <c r="I107" i="4" s="1"/>
  <c r="H295" i="5"/>
  <c r="G107" i="4" s="1"/>
  <c r="H294" i="5"/>
  <c r="G106" i="4" s="1"/>
  <c r="C54" i="6"/>
  <c r="E290" i="5"/>
  <c r="D102" i="4" s="1"/>
  <c r="F290" i="5"/>
  <c r="E102" i="4" s="1"/>
  <c r="I290" i="5"/>
  <c r="H102" i="4" s="1"/>
  <c r="J290" i="5"/>
  <c r="I102" i="4" s="1"/>
  <c r="H290" i="5"/>
  <c r="G102" i="4" s="1"/>
  <c r="F43" i="6"/>
  <c r="F42" i="6"/>
  <c r="E276" i="5"/>
  <c r="F276" i="5"/>
  <c r="C34" i="6"/>
  <c r="D34" i="6"/>
  <c r="I276" i="5"/>
  <c r="J276" i="5"/>
  <c r="H276" i="5"/>
  <c r="F37" i="6"/>
  <c r="F36" i="6"/>
  <c r="G34" i="6"/>
  <c r="H34" i="6"/>
  <c r="F25" i="6"/>
  <c r="F24" i="6"/>
  <c r="F16" i="6"/>
  <c r="J134" i="5" l="1"/>
  <c r="J131" i="5" s="1"/>
  <c r="G87" i="4"/>
  <c r="H168" i="5"/>
  <c r="G136" i="4"/>
  <c r="J168" i="5"/>
  <c r="I136" i="4"/>
  <c r="I87" i="4"/>
  <c r="I178" i="5"/>
  <c r="H87" i="4"/>
  <c r="C658" i="6"/>
  <c r="E544" i="5"/>
  <c r="E543" i="5" s="1"/>
  <c r="E542" i="5" s="1"/>
  <c r="D658" i="6"/>
  <c r="D648" i="6" s="1"/>
  <c r="F544" i="5"/>
  <c r="F543" i="5" s="1"/>
  <c r="F542" i="5" s="1"/>
  <c r="G303" i="6"/>
  <c r="G239" i="6"/>
  <c r="F20" i="6"/>
  <c r="D136" i="4"/>
  <c r="E136" i="4"/>
  <c r="H303" i="6"/>
  <c r="F239" i="6"/>
  <c r="F238" i="6" s="1"/>
  <c r="D73" i="4"/>
  <c r="E73" i="4"/>
  <c r="G674" i="6"/>
  <c r="F674" i="6"/>
  <c r="D674" i="6"/>
  <c r="C674" i="6"/>
  <c r="H674" i="6"/>
  <c r="G662" i="6"/>
  <c r="D662" i="6"/>
  <c r="D661" i="6" s="1"/>
  <c r="C648" i="6"/>
  <c r="F662" i="6"/>
  <c r="C662" i="6"/>
  <c r="H662" i="6"/>
  <c r="H648" i="6"/>
  <c r="G648" i="6"/>
  <c r="F648" i="6"/>
  <c r="E24" i="5"/>
  <c r="E23" i="5" s="1"/>
  <c r="F24" i="5"/>
  <c r="F23" i="5" s="1"/>
  <c r="D87" i="4"/>
  <c r="E87" i="4"/>
  <c r="H24" i="5"/>
  <c r="H23" i="5" s="1"/>
  <c r="G544" i="6"/>
  <c r="G543" i="6" s="1"/>
  <c r="D267" i="4"/>
  <c r="D266" i="4" s="1"/>
  <c r="I24" i="5"/>
  <c r="I23" i="5" s="1"/>
  <c r="J24" i="5"/>
  <c r="J23" i="5" s="1"/>
  <c r="C544" i="6"/>
  <c r="C543" i="6" s="1"/>
  <c r="D544" i="6"/>
  <c r="D543" i="6" s="1"/>
  <c r="H544" i="6"/>
  <c r="H543" i="6" s="1"/>
  <c r="F101" i="5"/>
  <c r="F100" i="5" s="1"/>
  <c r="F544" i="6"/>
  <c r="F543" i="6" s="1"/>
  <c r="I86" i="5"/>
  <c r="H144" i="4"/>
  <c r="H86" i="5"/>
  <c r="D534" i="6"/>
  <c r="C534" i="6"/>
  <c r="H534" i="6"/>
  <c r="G534" i="6"/>
  <c r="F534" i="6"/>
  <c r="I144" i="4"/>
  <c r="J47" i="5"/>
  <c r="G266" i="4"/>
  <c r="G265" i="4" s="1"/>
  <c r="E40" i="5"/>
  <c r="I47" i="5"/>
  <c r="F47" i="5"/>
  <c r="H83" i="5"/>
  <c r="H47" i="5"/>
  <c r="E47" i="5"/>
  <c r="F76" i="5"/>
  <c r="F75" i="5" s="1"/>
  <c r="F74" i="5" s="1"/>
  <c r="I101" i="5"/>
  <c r="I100" i="5" s="1"/>
  <c r="E76" i="5"/>
  <c r="E75" i="5" s="1"/>
  <c r="E74" i="5" s="1"/>
  <c r="H76" i="5"/>
  <c r="H75" i="5" s="1"/>
  <c r="H74" i="5" s="1"/>
  <c r="I266" i="4"/>
  <c r="I265" i="4" s="1"/>
  <c r="D251" i="4"/>
  <c r="D250" i="4" s="1"/>
  <c r="E251" i="4"/>
  <c r="E250" i="4" s="1"/>
  <c r="I250" i="4"/>
  <c r="I134" i="4"/>
  <c r="I76" i="5"/>
  <c r="I75" i="5" s="1"/>
  <c r="I74" i="5" s="1"/>
  <c r="I239" i="4"/>
  <c r="I238" i="4" s="1"/>
  <c r="D134" i="4"/>
  <c r="E134" i="4"/>
  <c r="F40" i="5"/>
  <c r="H134" i="4"/>
  <c r="I40" i="5"/>
  <c r="H40" i="5"/>
  <c r="G134" i="4"/>
  <c r="J40" i="5"/>
  <c r="D144" i="4"/>
  <c r="G144" i="4"/>
  <c r="E144" i="4"/>
  <c r="F591" i="5"/>
  <c r="F589" i="5" s="1"/>
  <c r="C312" i="6"/>
  <c r="D312" i="6"/>
  <c r="D122" i="4"/>
  <c r="I165" i="4"/>
  <c r="H122" i="4"/>
  <c r="I122" i="4"/>
  <c r="E165" i="4"/>
  <c r="G165" i="4"/>
  <c r="F312" i="6"/>
  <c r="F311" i="6" s="1"/>
  <c r="G312" i="6"/>
  <c r="H206" i="5"/>
  <c r="H205" i="5" s="1"/>
  <c r="I206" i="5"/>
  <c r="I205" i="5" s="1"/>
  <c r="F206" i="5"/>
  <c r="F205" i="5" s="1"/>
  <c r="E206" i="5"/>
  <c r="J206" i="5"/>
  <c r="J205" i="5" s="1"/>
  <c r="H312" i="6"/>
  <c r="I201" i="5"/>
  <c r="I195" i="4"/>
  <c r="E201" i="5"/>
  <c r="F201" i="5"/>
  <c r="G195" i="4"/>
  <c r="H177" i="4"/>
  <c r="H176" i="4" s="1"/>
  <c r="E177" i="4"/>
  <c r="E176" i="4" s="1"/>
  <c r="G179" i="4"/>
  <c r="G178" i="4" s="1"/>
  <c r="D165" i="4"/>
  <c r="H198" i="5"/>
  <c r="I179" i="4"/>
  <c r="I178" i="4" s="1"/>
  <c r="H165" i="4"/>
  <c r="D177" i="4"/>
  <c r="D176" i="4" s="1"/>
  <c r="I177" i="4"/>
  <c r="I176" i="4" s="1"/>
  <c r="D179" i="4"/>
  <c r="D178" i="4" s="1"/>
  <c r="E179" i="4"/>
  <c r="E178" i="4" s="1"/>
  <c r="G177" i="4"/>
  <c r="G176" i="4" s="1"/>
  <c r="H179" i="4"/>
  <c r="H178" i="4" s="1"/>
  <c r="E122" i="4"/>
  <c r="F178" i="5"/>
  <c r="H178" i="5"/>
  <c r="E178" i="5"/>
  <c r="J178" i="5"/>
  <c r="I168" i="5"/>
  <c r="E168" i="5"/>
  <c r="H160" i="5"/>
  <c r="G122" i="4"/>
  <c r="F168" i="5"/>
  <c r="F160" i="5"/>
  <c r="J160" i="5"/>
  <c r="I160" i="5"/>
  <c r="E160" i="5"/>
  <c r="H154" i="5"/>
  <c r="F154" i="5"/>
  <c r="J154" i="5"/>
  <c r="I154" i="5"/>
  <c r="E154" i="5"/>
  <c r="I131" i="5"/>
  <c r="F131" i="5"/>
  <c r="E131" i="5"/>
  <c r="H131" i="5"/>
  <c r="F139" i="6"/>
  <c r="H364" i="5"/>
  <c r="E205" i="4"/>
  <c r="I205" i="4"/>
  <c r="H362" i="5"/>
  <c r="G192" i="4"/>
  <c r="F65" i="6"/>
  <c r="F362" i="5"/>
  <c r="D192" i="4"/>
  <c r="I192" i="4"/>
  <c r="D148" i="4"/>
  <c r="E148" i="4"/>
  <c r="I362" i="5"/>
  <c r="F364" i="5"/>
  <c r="I148" i="4"/>
  <c r="I364" i="5"/>
  <c r="I152" i="4"/>
  <c r="H152" i="4"/>
  <c r="F87" i="6"/>
  <c r="F47" i="6"/>
  <c r="F34" i="6"/>
  <c r="G36" i="3"/>
  <c r="I48" i="2"/>
  <c r="J48" i="2"/>
  <c r="F114" i="1"/>
  <c r="F113" i="1" s="1"/>
  <c r="H114" i="1"/>
  <c r="H113" i="1" s="1"/>
  <c r="I114" i="1"/>
  <c r="I113" i="1" s="1"/>
  <c r="J114" i="1"/>
  <c r="J113" i="1" s="1"/>
  <c r="F118" i="1"/>
  <c r="F117" i="1" s="1"/>
  <c r="H118" i="1"/>
  <c r="H117" i="1" s="1"/>
  <c r="I118" i="1"/>
  <c r="I117" i="1" s="1"/>
  <c r="J118" i="1"/>
  <c r="J117" i="1" s="1"/>
  <c r="J109" i="1"/>
  <c r="J108" i="1" s="1"/>
  <c r="J107" i="1" s="1"/>
  <c r="J111" i="1" s="1"/>
  <c r="I109" i="1"/>
  <c r="I108" i="1" s="1"/>
  <c r="I107" i="1" s="1"/>
  <c r="I111" i="1" s="1"/>
  <c r="H109" i="1"/>
  <c r="H108" i="1" s="1"/>
  <c r="H107" i="1" s="1"/>
  <c r="H111" i="1" s="1"/>
  <c r="F109" i="1"/>
  <c r="F108" i="1" s="1"/>
  <c r="F107" i="1" s="1"/>
  <c r="F111" i="1" s="1"/>
  <c r="F99" i="1"/>
  <c r="F98" i="1" s="1"/>
  <c r="F105" i="1" s="1"/>
  <c r="H99" i="1"/>
  <c r="H98" i="1" s="1"/>
  <c r="H105" i="1" s="1"/>
  <c r="H106" i="1" s="1"/>
  <c r="I99" i="1"/>
  <c r="I98" i="1" s="1"/>
  <c r="I105" i="1" s="1"/>
  <c r="I106" i="1" s="1"/>
  <c r="J99" i="1"/>
  <c r="J98" i="1" s="1"/>
  <c r="J105" i="1" s="1"/>
  <c r="J106" i="1" s="1"/>
  <c r="I91" i="1"/>
  <c r="I95" i="1" s="1"/>
  <c r="J91" i="1"/>
  <c r="J95" i="1" s="1"/>
  <c r="F92" i="1"/>
  <c r="H91" i="1"/>
  <c r="F79" i="1"/>
  <c r="H79" i="1"/>
  <c r="I79" i="1"/>
  <c r="J79" i="1"/>
  <c r="F77" i="1"/>
  <c r="H77" i="1"/>
  <c r="H76" i="1" s="1"/>
  <c r="I77" i="1"/>
  <c r="I76" i="1" s="1"/>
  <c r="J77" i="1"/>
  <c r="J76" i="1" s="1"/>
  <c r="F74" i="1"/>
  <c r="F73" i="1" s="1"/>
  <c r="H74" i="1"/>
  <c r="H73" i="1" s="1"/>
  <c r="I74" i="1"/>
  <c r="I73" i="1" s="1"/>
  <c r="J74" i="1"/>
  <c r="J73" i="1" s="1"/>
  <c r="F70" i="1"/>
  <c r="F69" i="1" s="1"/>
  <c r="H70" i="1"/>
  <c r="H69" i="1" s="1"/>
  <c r="I70" i="1"/>
  <c r="I69" i="1" s="1"/>
  <c r="J70" i="1"/>
  <c r="J69" i="1" s="1"/>
  <c r="F64" i="1"/>
  <c r="F63" i="1" s="1"/>
  <c r="F62" i="1" s="1"/>
  <c r="H64" i="1"/>
  <c r="H63" i="1" s="1"/>
  <c r="H62" i="1" s="1"/>
  <c r="I64" i="1"/>
  <c r="I63" i="1" s="1"/>
  <c r="I62" i="1" s="1"/>
  <c r="J64" i="1"/>
  <c r="J63" i="1" s="1"/>
  <c r="J62" i="1" s="1"/>
  <c r="F56" i="1"/>
  <c r="H56" i="1"/>
  <c r="I56" i="1"/>
  <c r="J56" i="1"/>
  <c r="F60" i="1"/>
  <c r="F59" i="1" s="1"/>
  <c r="H60" i="1"/>
  <c r="H59" i="1" s="1"/>
  <c r="I60" i="1"/>
  <c r="I59" i="1" s="1"/>
  <c r="J60" i="1"/>
  <c r="J59" i="1" s="1"/>
  <c r="F51" i="1"/>
  <c r="F50" i="1" s="1"/>
  <c r="H51" i="1"/>
  <c r="H50" i="1" s="1"/>
  <c r="H49" i="1" s="1"/>
  <c r="E13" i="9" s="1"/>
  <c r="I51" i="1"/>
  <c r="I50" i="1" s="1"/>
  <c r="I49" i="1" s="1"/>
  <c r="F13" i="9" s="1"/>
  <c r="J51" i="1"/>
  <c r="J50" i="1" s="1"/>
  <c r="J49" i="1" s="1"/>
  <c r="G13" i="9" s="1"/>
  <c r="F21" i="1"/>
  <c r="H21" i="1"/>
  <c r="I21" i="1"/>
  <c r="J21" i="1"/>
  <c r="F19" i="1"/>
  <c r="H19" i="1"/>
  <c r="H18" i="1" s="1"/>
  <c r="H17" i="1" s="1"/>
  <c r="I19" i="1"/>
  <c r="I18" i="1" s="1"/>
  <c r="I17" i="1" s="1"/>
  <c r="J19" i="1"/>
  <c r="J18" i="1" s="1"/>
  <c r="J17" i="1" s="1"/>
  <c r="F11" i="1"/>
  <c r="F10" i="1" s="1"/>
  <c r="F9" i="1" s="1"/>
  <c r="F15" i="1" s="1"/>
  <c r="C7" i="9" s="1"/>
  <c r="H11" i="1"/>
  <c r="H10" i="1" s="1"/>
  <c r="I11" i="1"/>
  <c r="I10" i="1" s="1"/>
  <c r="J11" i="1"/>
  <c r="J10" i="1" s="1"/>
  <c r="F38" i="1"/>
  <c r="F37" i="1" s="1"/>
  <c r="H38" i="1"/>
  <c r="H37" i="1" s="1"/>
  <c r="I38" i="1"/>
  <c r="I37" i="1" s="1"/>
  <c r="J38" i="1"/>
  <c r="J37" i="1" s="1"/>
  <c r="F45" i="1"/>
  <c r="H45" i="1"/>
  <c r="I45" i="1"/>
  <c r="J45" i="1"/>
  <c r="F81" i="1"/>
  <c r="H81" i="1"/>
  <c r="I81" i="1"/>
  <c r="J81" i="1"/>
  <c r="E216" i="4"/>
  <c r="E215" i="4" s="1"/>
  <c r="G216" i="4"/>
  <c r="G215" i="4" s="1"/>
  <c r="H216" i="4"/>
  <c r="H215" i="4" s="1"/>
  <c r="I216" i="4"/>
  <c r="I215" i="4" s="1"/>
  <c r="E225" i="4"/>
  <c r="G225" i="4"/>
  <c r="H225" i="4"/>
  <c r="I225" i="4"/>
  <c r="E232" i="4"/>
  <c r="G232" i="4"/>
  <c r="H232" i="4"/>
  <c r="I232" i="4"/>
  <c r="E236" i="4"/>
  <c r="G236" i="4"/>
  <c r="H236" i="4"/>
  <c r="I236" i="4"/>
  <c r="E242" i="4"/>
  <c r="E265" i="4"/>
  <c r="H265" i="4"/>
  <c r="E272" i="4"/>
  <c r="G272" i="4"/>
  <c r="H272" i="4"/>
  <c r="I272" i="4"/>
  <c r="F467" i="5"/>
  <c r="F468" i="5"/>
  <c r="E468" i="5"/>
  <c r="E467" i="5"/>
  <c r="F489" i="5"/>
  <c r="F488" i="5" s="1"/>
  <c r="F487" i="5" s="1"/>
  <c r="H489" i="5"/>
  <c r="H488" i="5" s="1"/>
  <c r="H487" i="5" s="1"/>
  <c r="I489" i="5"/>
  <c r="I488" i="5" s="1"/>
  <c r="I487" i="5" s="1"/>
  <c r="J489" i="5"/>
  <c r="J488" i="5" s="1"/>
  <c r="J487" i="5" s="1"/>
  <c r="F482" i="5"/>
  <c r="F481" i="5" s="1"/>
  <c r="H482" i="5"/>
  <c r="H481" i="5" s="1"/>
  <c r="I482" i="5"/>
  <c r="I481" i="5" s="1"/>
  <c r="J482" i="5"/>
  <c r="J481" i="5" s="1"/>
  <c r="E482" i="5"/>
  <c r="F479" i="5"/>
  <c r="F478" i="5" s="1"/>
  <c r="H479" i="5"/>
  <c r="H478" i="5" s="1"/>
  <c r="I479" i="5"/>
  <c r="I478" i="5" s="1"/>
  <c r="J479" i="5"/>
  <c r="J478" i="5" s="1"/>
  <c r="E479" i="5"/>
  <c r="F476" i="5"/>
  <c r="H476" i="5"/>
  <c r="I476" i="5"/>
  <c r="J476" i="5"/>
  <c r="E476" i="5"/>
  <c r="F475" i="5"/>
  <c r="H475" i="5"/>
  <c r="I475" i="5"/>
  <c r="J475" i="5"/>
  <c r="E475" i="5"/>
  <c r="F472" i="5"/>
  <c r="F471" i="5" s="1"/>
  <c r="I471" i="5"/>
  <c r="J471" i="5"/>
  <c r="E472" i="5"/>
  <c r="E471" i="5" s="1"/>
  <c r="F469" i="5"/>
  <c r="H469" i="5"/>
  <c r="I469" i="5"/>
  <c r="J469" i="5"/>
  <c r="F461" i="5"/>
  <c r="F460" i="5" s="1"/>
  <c r="H461" i="5"/>
  <c r="H460" i="5" s="1"/>
  <c r="I461" i="5"/>
  <c r="I460" i="5" s="1"/>
  <c r="J461" i="5"/>
  <c r="J460" i="5" s="1"/>
  <c r="F458" i="5"/>
  <c r="H458" i="5"/>
  <c r="H457" i="5" s="1"/>
  <c r="H456" i="5" s="1"/>
  <c r="I458" i="5"/>
  <c r="I457" i="5" s="1"/>
  <c r="I456" i="5" s="1"/>
  <c r="J458" i="5"/>
  <c r="J457" i="5" s="1"/>
  <c r="J456" i="5" s="1"/>
  <c r="F15" i="5"/>
  <c r="F14" i="5" s="1"/>
  <c r="F13" i="5" s="1"/>
  <c r="H14" i="5"/>
  <c r="H13" i="5" s="1"/>
  <c r="I14" i="5"/>
  <c r="I13" i="5" s="1"/>
  <c r="J14" i="5"/>
  <c r="J13" i="5" s="1"/>
  <c r="F21" i="5"/>
  <c r="F20" i="5" s="1"/>
  <c r="F19" i="5" s="1"/>
  <c r="H20" i="5"/>
  <c r="H19" i="5" s="1"/>
  <c r="I20" i="5"/>
  <c r="I19" i="5" s="1"/>
  <c r="J20" i="5"/>
  <c r="J19" i="5" s="1"/>
  <c r="F31" i="5"/>
  <c r="F32" i="5"/>
  <c r="F34" i="5"/>
  <c r="F33" i="5" s="1"/>
  <c r="F37" i="5"/>
  <c r="F38" i="5"/>
  <c r="F46" i="5"/>
  <c r="F53" i="5"/>
  <c r="F52" i="5" s="1"/>
  <c r="H52" i="5"/>
  <c r="I52" i="5"/>
  <c r="J52" i="5"/>
  <c r="F55" i="5"/>
  <c r="F54" i="5" s="1"/>
  <c r="H54" i="5"/>
  <c r="I54" i="5"/>
  <c r="J54" i="5"/>
  <c r="F60" i="5"/>
  <c r="F61" i="5"/>
  <c r="F64" i="5"/>
  <c r="F65" i="5"/>
  <c r="F68" i="5"/>
  <c r="F67" i="5" s="1"/>
  <c r="H67" i="5"/>
  <c r="I67" i="5"/>
  <c r="J67" i="5"/>
  <c r="F70" i="5"/>
  <c r="F69" i="5" s="1"/>
  <c r="H69" i="5"/>
  <c r="I69" i="5"/>
  <c r="J69" i="5"/>
  <c r="F72" i="5"/>
  <c r="F71" i="5" s="1"/>
  <c r="H71" i="5"/>
  <c r="I71" i="5"/>
  <c r="J71" i="5"/>
  <c r="F88" i="5"/>
  <c r="F91" i="5"/>
  <c r="H91" i="5"/>
  <c r="I91" i="5"/>
  <c r="J91" i="5"/>
  <c r="F93" i="5"/>
  <c r="H93" i="5"/>
  <c r="I93" i="5"/>
  <c r="J93" i="5"/>
  <c r="F105" i="5"/>
  <c r="F104" i="5" s="1"/>
  <c r="F103" i="5" s="1"/>
  <c r="H105" i="5"/>
  <c r="H104" i="5" s="1"/>
  <c r="H103" i="5" s="1"/>
  <c r="I105" i="5"/>
  <c r="I104" i="5" s="1"/>
  <c r="I103" i="5" s="1"/>
  <c r="J105" i="5"/>
  <c r="J104" i="5" s="1"/>
  <c r="J103" i="5" s="1"/>
  <c r="F117" i="5"/>
  <c r="F116" i="5" s="1"/>
  <c r="H117" i="5"/>
  <c r="H116" i="5" s="1"/>
  <c r="I117" i="5"/>
  <c r="I116" i="5" s="1"/>
  <c r="J117" i="5"/>
  <c r="J116" i="5" s="1"/>
  <c r="F125" i="5"/>
  <c r="H125" i="5"/>
  <c r="I125" i="5"/>
  <c r="J125" i="5"/>
  <c r="F128" i="5"/>
  <c r="F127" i="5" s="1"/>
  <c r="F126" i="5" s="1"/>
  <c r="H128" i="5"/>
  <c r="I128" i="5"/>
  <c r="J128" i="5"/>
  <c r="F137" i="5"/>
  <c r="F136" i="5" s="1"/>
  <c r="H137" i="5"/>
  <c r="I137" i="5"/>
  <c r="J137" i="5"/>
  <c r="F141" i="5"/>
  <c r="F139" i="5" s="1"/>
  <c r="H141" i="5"/>
  <c r="I141" i="5"/>
  <c r="J141" i="5"/>
  <c r="F145" i="5"/>
  <c r="F144" i="5" s="1"/>
  <c r="H145" i="5"/>
  <c r="H144" i="5" s="1"/>
  <c r="I145" i="5"/>
  <c r="I144" i="5" s="1"/>
  <c r="J145" i="5"/>
  <c r="J144" i="5" s="1"/>
  <c r="F147" i="5"/>
  <c r="H147" i="5"/>
  <c r="I147" i="5"/>
  <c r="J147" i="5"/>
  <c r="F148" i="5"/>
  <c r="H148" i="5"/>
  <c r="I148" i="5"/>
  <c r="J148" i="5"/>
  <c r="F150" i="5"/>
  <c r="H150" i="5"/>
  <c r="I150" i="5"/>
  <c r="J150" i="5"/>
  <c r="F151" i="5"/>
  <c r="H151" i="5"/>
  <c r="I151" i="5"/>
  <c r="J151" i="5"/>
  <c r="F152" i="5"/>
  <c r="H152" i="5"/>
  <c r="I152" i="5"/>
  <c r="J152" i="5"/>
  <c r="F157" i="5"/>
  <c r="H157" i="5"/>
  <c r="I157" i="5"/>
  <c r="J157" i="5"/>
  <c r="F165" i="5"/>
  <c r="H165" i="5"/>
  <c r="I165" i="5"/>
  <c r="J165" i="5"/>
  <c r="F166" i="5"/>
  <c r="H166" i="5"/>
  <c r="I166" i="5"/>
  <c r="J166" i="5"/>
  <c r="F173" i="5"/>
  <c r="F172" i="5" s="1"/>
  <c r="H173" i="5"/>
  <c r="H172" i="5" s="1"/>
  <c r="I173" i="5"/>
  <c r="I172" i="5" s="1"/>
  <c r="J173" i="5"/>
  <c r="J172" i="5" s="1"/>
  <c r="F175" i="5"/>
  <c r="F174" i="5" s="1"/>
  <c r="H175" i="5"/>
  <c r="I175" i="5"/>
  <c r="J175" i="5"/>
  <c r="F184" i="5"/>
  <c r="F181" i="5" s="1"/>
  <c r="H184" i="5"/>
  <c r="I184" i="5"/>
  <c r="J184" i="5"/>
  <c r="F187" i="5"/>
  <c r="H187" i="5"/>
  <c r="I187" i="5"/>
  <c r="J187" i="5"/>
  <c r="F188" i="5"/>
  <c r="H188" i="5"/>
  <c r="I188" i="5"/>
  <c r="J188" i="5"/>
  <c r="F196" i="5"/>
  <c r="F195" i="5" s="1"/>
  <c r="H196" i="5"/>
  <c r="H195" i="5" s="1"/>
  <c r="I196" i="5"/>
  <c r="I195" i="5" s="1"/>
  <c r="J196" i="5"/>
  <c r="J195" i="5" s="1"/>
  <c r="F197" i="5"/>
  <c r="I197" i="5"/>
  <c r="J197" i="5"/>
  <c r="F214" i="5"/>
  <c r="F213" i="5" s="1"/>
  <c r="H214" i="5"/>
  <c r="H213" i="5" s="1"/>
  <c r="I214" i="5"/>
  <c r="I213" i="5" s="1"/>
  <c r="J214" i="5"/>
  <c r="J213" i="5" s="1"/>
  <c r="F217" i="5"/>
  <c r="H217" i="5"/>
  <c r="I217" i="5"/>
  <c r="I216" i="5" s="1"/>
  <c r="J217" i="5"/>
  <c r="J216" i="5" s="1"/>
  <c r="F219" i="5"/>
  <c r="F216" i="5" s="1"/>
  <c r="H216" i="5"/>
  <c r="F225" i="5"/>
  <c r="F224" i="5" s="1"/>
  <c r="H225" i="5"/>
  <c r="H224" i="5" s="1"/>
  <c r="I225" i="5"/>
  <c r="I224" i="5" s="1"/>
  <c r="J225" i="5"/>
  <c r="J224" i="5" s="1"/>
  <c r="F228" i="5"/>
  <c r="H228" i="5"/>
  <c r="I228" i="5"/>
  <c r="J228" i="5"/>
  <c r="F231" i="5"/>
  <c r="H231" i="5"/>
  <c r="I231" i="5"/>
  <c r="J231" i="5"/>
  <c r="F234" i="5"/>
  <c r="H234" i="5"/>
  <c r="I234" i="5"/>
  <c r="J234" i="5"/>
  <c r="F238" i="5"/>
  <c r="H238" i="5"/>
  <c r="I238" i="5"/>
  <c r="J238" i="5"/>
  <c r="F240" i="5"/>
  <c r="H240" i="5"/>
  <c r="I240" i="5"/>
  <c r="J240" i="5"/>
  <c r="F242" i="5"/>
  <c r="H242" i="5"/>
  <c r="I242" i="5"/>
  <c r="J242" i="5"/>
  <c r="F250" i="5"/>
  <c r="H250" i="5"/>
  <c r="I250" i="5"/>
  <c r="J250" i="5"/>
  <c r="F251" i="5"/>
  <c r="E62" i="4" s="1"/>
  <c r="H251" i="5"/>
  <c r="G62" i="4" s="1"/>
  <c r="I251" i="5"/>
  <c r="H62" i="4" s="1"/>
  <c r="J251" i="5"/>
  <c r="I62" i="4" s="1"/>
  <c r="F254" i="5"/>
  <c r="F253" i="5" s="1"/>
  <c r="H254" i="5"/>
  <c r="H253" i="5" s="1"/>
  <c r="I254" i="5"/>
  <c r="I253" i="5" s="1"/>
  <c r="J254" i="5"/>
  <c r="J253" i="5" s="1"/>
  <c r="F256" i="5"/>
  <c r="F255" i="5" s="1"/>
  <c r="H256" i="5"/>
  <c r="H255" i="5" s="1"/>
  <c r="I256" i="5"/>
  <c r="J256" i="5"/>
  <c r="J255" i="5" s="1"/>
  <c r="F259" i="5"/>
  <c r="H259" i="5"/>
  <c r="G68" i="4" s="1"/>
  <c r="I259" i="5"/>
  <c r="H68" i="4" s="1"/>
  <c r="J259" i="5"/>
  <c r="I68" i="4" s="1"/>
  <c r="F260" i="5"/>
  <c r="E69" i="4" s="1"/>
  <c r="H260" i="5"/>
  <c r="G69" i="4" s="1"/>
  <c r="I260" i="5"/>
  <c r="H69" i="4" s="1"/>
  <c r="J260" i="5"/>
  <c r="I69" i="4" s="1"/>
  <c r="F261" i="5"/>
  <c r="E70" i="4" s="1"/>
  <c r="H261" i="5"/>
  <c r="I261" i="5"/>
  <c r="H70" i="4" s="1"/>
  <c r="J261" i="5"/>
  <c r="I70" i="4" s="1"/>
  <c r="F262" i="5"/>
  <c r="E71" i="4" s="1"/>
  <c r="H262" i="5"/>
  <c r="G71" i="4" s="1"/>
  <c r="I262" i="5"/>
  <c r="H71" i="4" s="1"/>
  <c r="J262" i="5"/>
  <c r="I71" i="4" s="1"/>
  <c r="F263" i="5"/>
  <c r="H263" i="5"/>
  <c r="G72" i="4" s="1"/>
  <c r="I263" i="5"/>
  <c r="H72" i="4" s="1"/>
  <c r="J263" i="5"/>
  <c r="I72" i="4" s="1"/>
  <c r="H264" i="5"/>
  <c r="I264" i="5"/>
  <c r="J264" i="5"/>
  <c r="F267" i="5"/>
  <c r="F266" i="5" s="1"/>
  <c r="H267" i="5"/>
  <c r="H266" i="5" s="1"/>
  <c r="I267" i="5"/>
  <c r="I266" i="5" s="1"/>
  <c r="J267" i="5"/>
  <c r="J266" i="5" s="1"/>
  <c r="F269" i="5"/>
  <c r="F268" i="5" s="1"/>
  <c r="H269" i="5"/>
  <c r="H268" i="5" s="1"/>
  <c r="I269" i="5"/>
  <c r="I268" i="5" s="1"/>
  <c r="J269" i="5"/>
  <c r="F273" i="5"/>
  <c r="H273" i="5"/>
  <c r="I273" i="5"/>
  <c r="J273" i="5"/>
  <c r="F274" i="5"/>
  <c r="H274" i="5"/>
  <c r="G85" i="4" s="1"/>
  <c r="I274" i="5"/>
  <c r="H85" i="4" s="1"/>
  <c r="J274" i="5"/>
  <c r="I85" i="4" s="1"/>
  <c r="H275" i="5"/>
  <c r="I275" i="5"/>
  <c r="J275" i="5"/>
  <c r="F278" i="5"/>
  <c r="H278" i="5"/>
  <c r="H277" i="5" s="1"/>
  <c r="I278" i="5"/>
  <c r="I277" i="5" s="1"/>
  <c r="J278" i="5"/>
  <c r="J277" i="5" s="1"/>
  <c r="F280" i="5"/>
  <c r="E92" i="4" s="1"/>
  <c r="H280" i="5"/>
  <c r="G92" i="4" s="1"/>
  <c r="I280" i="5"/>
  <c r="H92" i="4" s="1"/>
  <c r="J280" i="5"/>
  <c r="I92" i="4" s="1"/>
  <c r="F281" i="5"/>
  <c r="H281" i="5"/>
  <c r="I281" i="5"/>
  <c r="J281" i="5"/>
  <c r="F283" i="5"/>
  <c r="H283" i="5"/>
  <c r="H282" i="5" s="1"/>
  <c r="I283" i="5"/>
  <c r="I282" i="5" s="1"/>
  <c r="J283" i="5"/>
  <c r="J282" i="5" s="1"/>
  <c r="F286" i="5"/>
  <c r="H286" i="5"/>
  <c r="I286" i="5"/>
  <c r="J286" i="5"/>
  <c r="F287" i="5"/>
  <c r="E99" i="4" s="1"/>
  <c r="H287" i="5"/>
  <c r="G99" i="4" s="1"/>
  <c r="I287" i="5"/>
  <c r="H99" i="4" s="1"/>
  <c r="J287" i="5"/>
  <c r="I99" i="4" s="1"/>
  <c r="F288" i="5"/>
  <c r="H288" i="5"/>
  <c r="I288" i="5"/>
  <c r="J288" i="5"/>
  <c r="F289" i="5"/>
  <c r="E101" i="4" s="1"/>
  <c r="H289" i="5"/>
  <c r="G101" i="4" s="1"/>
  <c r="I289" i="5"/>
  <c r="H101" i="4" s="1"/>
  <c r="J289" i="5"/>
  <c r="I101" i="4" s="1"/>
  <c r="H291" i="5"/>
  <c r="I291" i="5"/>
  <c r="J291" i="5"/>
  <c r="F293" i="5"/>
  <c r="H293" i="5"/>
  <c r="I293" i="5"/>
  <c r="J293" i="5"/>
  <c r="F296" i="5"/>
  <c r="H296" i="5"/>
  <c r="I296" i="5"/>
  <c r="J296" i="5"/>
  <c r="F297" i="5"/>
  <c r="E109" i="4" s="1"/>
  <c r="H297" i="5"/>
  <c r="G109" i="4" s="1"/>
  <c r="I297" i="5"/>
  <c r="H109" i="4" s="1"/>
  <c r="J297" i="5"/>
  <c r="I109" i="4" s="1"/>
  <c r="F299" i="5"/>
  <c r="H299" i="5"/>
  <c r="I299" i="5"/>
  <c r="J299" i="5"/>
  <c r="F300" i="5"/>
  <c r="E112" i="4" s="1"/>
  <c r="H300" i="5"/>
  <c r="G112" i="4" s="1"/>
  <c r="I300" i="5"/>
  <c r="H112" i="4" s="1"/>
  <c r="J300" i="5"/>
  <c r="I112" i="4" s="1"/>
  <c r="F301" i="5"/>
  <c r="H301" i="5"/>
  <c r="I301" i="5"/>
  <c r="J301" i="5"/>
  <c r="F302" i="5"/>
  <c r="H302" i="5"/>
  <c r="I302" i="5"/>
  <c r="J302" i="5"/>
  <c r="F304" i="5"/>
  <c r="H304" i="5"/>
  <c r="I304" i="5"/>
  <c r="J304" i="5"/>
  <c r="F305" i="5"/>
  <c r="E117" i="4" s="1"/>
  <c r="H305" i="5"/>
  <c r="G117" i="4" s="1"/>
  <c r="I305" i="5"/>
  <c r="H117" i="4" s="1"/>
  <c r="J305" i="5"/>
  <c r="I117" i="4" s="1"/>
  <c r="F306" i="5"/>
  <c r="E118" i="4" s="1"/>
  <c r="H306" i="5"/>
  <c r="G118" i="4" s="1"/>
  <c r="I306" i="5"/>
  <c r="H118" i="4" s="1"/>
  <c r="J306" i="5"/>
  <c r="I118" i="4" s="1"/>
  <c r="F307" i="5"/>
  <c r="E119" i="4" s="1"/>
  <c r="H307" i="5"/>
  <c r="G119" i="4" s="1"/>
  <c r="I307" i="5"/>
  <c r="H119" i="4" s="1"/>
  <c r="J307" i="5"/>
  <c r="I119" i="4" s="1"/>
  <c r="F309" i="5"/>
  <c r="H309" i="5"/>
  <c r="I309" i="5"/>
  <c r="J309" i="5"/>
  <c r="F312" i="5"/>
  <c r="F311" i="5" s="1"/>
  <c r="H312" i="5"/>
  <c r="I312" i="5"/>
  <c r="I311" i="5" s="1"/>
  <c r="J312" i="5"/>
  <c r="J311" i="5" s="1"/>
  <c r="F315" i="5"/>
  <c r="H315" i="5"/>
  <c r="G127" i="4" s="1"/>
  <c r="I315" i="5"/>
  <c r="H127" i="4" s="1"/>
  <c r="J315" i="5"/>
  <c r="I127" i="4" s="1"/>
  <c r="F316" i="5"/>
  <c r="E128" i="4" s="1"/>
  <c r="H316" i="5"/>
  <c r="G128" i="4" s="1"/>
  <c r="I316" i="5"/>
  <c r="H128" i="4" s="1"/>
  <c r="J316" i="5"/>
  <c r="I128" i="4" s="1"/>
  <c r="F317" i="5"/>
  <c r="H317" i="5"/>
  <c r="I317" i="5"/>
  <c r="J317" i="5"/>
  <c r="F319" i="5"/>
  <c r="H319" i="5"/>
  <c r="I319" i="5"/>
  <c r="J319" i="5"/>
  <c r="F320" i="5"/>
  <c r="H320" i="5"/>
  <c r="I320" i="5"/>
  <c r="J320" i="5"/>
  <c r="F324" i="5"/>
  <c r="F323" i="5" s="1"/>
  <c r="H324" i="5"/>
  <c r="I324" i="5"/>
  <c r="I323" i="5" s="1"/>
  <c r="J324" i="5"/>
  <c r="J323" i="5" s="1"/>
  <c r="F326" i="5"/>
  <c r="E139" i="4" s="1"/>
  <c r="H326" i="5"/>
  <c r="I326" i="5"/>
  <c r="H139" i="4" s="1"/>
  <c r="J326" i="5"/>
  <c r="I139" i="4" s="1"/>
  <c r="F327" i="5"/>
  <c r="E140" i="4" s="1"/>
  <c r="H327" i="5"/>
  <c r="G140" i="4" s="1"/>
  <c r="I327" i="5"/>
  <c r="H140" i="4" s="1"/>
  <c r="J327" i="5"/>
  <c r="I140" i="4" s="1"/>
  <c r="F328" i="5"/>
  <c r="E141" i="4" s="1"/>
  <c r="H328" i="5"/>
  <c r="G141" i="4" s="1"/>
  <c r="I328" i="5"/>
  <c r="H141" i="4" s="1"/>
  <c r="J328" i="5"/>
  <c r="I141" i="4" s="1"/>
  <c r="H333" i="5"/>
  <c r="G146" i="4" s="1"/>
  <c r="I333" i="5"/>
  <c r="H146" i="4" s="1"/>
  <c r="J333" i="5"/>
  <c r="I146" i="4" s="1"/>
  <c r="F337" i="5"/>
  <c r="F334" i="5" s="1"/>
  <c r="H337" i="5"/>
  <c r="H334" i="5" s="1"/>
  <c r="I337" i="5"/>
  <c r="I334" i="5" s="1"/>
  <c r="J337" i="5"/>
  <c r="J334" i="5" s="1"/>
  <c r="F342" i="5"/>
  <c r="F338" i="5" s="1"/>
  <c r="H342" i="5"/>
  <c r="H338" i="5" s="1"/>
  <c r="I342" i="5"/>
  <c r="I338" i="5" s="1"/>
  <c r="J342" i="5"/>
  <c r="J338" i="5" s="1"/>
  <c r="F344" i="5"/>
  <c r="H344" i="5"/>
  <c r="I344" i="5"/>
  <c r="J344" i="5"/>
  <c r="F345" i="5"/>
  <c r="E158" i="4" s="1"/>
  <c r="H345" i="5"/>
  <c r="G158" i="4" s="1"/>
  <c r="I345" i="5"/>
  <c r="H158" i="4" s="1"/>
  <c r="J345" i="5"/>
  <c r="I158" i="4" s="1"/>
  <c r="F346" i="5"/>
  <c r="E159" i="4" s="1"/>
  <c r="H346" i="5"/>
  <c r="G159" i="4" s="1"/>
  <c r="I346" i="5"/>
  <c r="H159" i="4" s="1"/>
  <c r="J346" i="5"/>
  <c r="I159" i="4" s="1"/>
  <c r="H347" i="5"/>
  <c r="I347" i="5"/>
  <c r="J347" i="5"/>
  <c r="F349" i="5"/>
  <c r="F348" i="5" s="1"/>
  <c r="H349" i="5"/>
  <c r="H348" i="5" s="1"/>
  <c r="I349" i="5"/>
  <c r="I348" i="5" s="1"/>
  <c r="J349" i="5"/>
  <c r="J348" i="5" s="1"/>
  <c r="F352" i="5"/>
  <c r="H352" i="5"/>
  <c r="I352" i="5"/>
  <c r="J352" i="5"/>
  <c r="F353" i="5"/>
  <c r="E167" i="4" s="1"/>
  <c r="H353" i="5"/>
  <c r="G167" i="4" s="1"/>
  <c r="I353" i="5"/>
  <c r="H167" i="4" s="1"/>
  <c r="J353" i="5"/>
  <c r="I167" i="4" s="1"/>
  <c r="H354" i="5"/>
  <c r="I354" i="5"/>
  <c r="J354" i="5"/>
  <c r="F357" i="5"/>
  <c r="H357" i="5"/>
  <c r="H356" i="5" s="1"/>
  <c r="H355" i="5" s="1"/>
  <c r="I357" i="5"/>
  <c r="I356" i="5" s="1"/>
  <c r="I355" i="5" s="1"/>
  <c r="J357" i="5"/>
  <c r="J356" i="5" s="1"/>
  <c r="J355" i="5" s="1"/>
  <c r="F360" i="5"/>
  <c r="H360" i="5"/>
  <c r="I360" i="5"/>
  <c r="J360" i="5"/>
  <c r="F361" i="5"/>
  <c r="H361" i="5"/>
  <c r="I361" i="5"/>
  <c r="J361" i="5"/>
  <c r="F368" i="5"/>
  <c r="H368" i="5"/>
  <c r="H367" i="5" s="1"/>
  <c r="I368" i="5"/>
  <c r="I367" i="5" s="1"/>
  <c r="J368" i="5"/>
  <c r="J367" i="5" s="1"/>
  <c r="F370" i="5"/>
  <c r="H370" i="5"/>
  <c r="I370" i="5"/>
  <c r="J370" i="5"/>
  <c r="F371" i="5"/>
  <c r="E185" i="4" s="1"/>
  <c r="H371" i="5"/>
  <c r="G185" i="4" s="1"/>
  <c r="I371" i="5"/>
  <c r="H185" i="4" s="1"/>
  <c r="J371" i="5"/>
  <c r="I185" i="4" s="1"/>
  <c r="H372" i="5"/>
  <c r="I372" i="5"/>
  <c r="J372" i="5"/>
  <c r="F374" i="5"/>
  <c r="F373" i="5" s="1"/>
  <c r="H374" i="5"/>
  <c r="I374" i="5"/>
  <c r="I373" i="5" s="1"/>
  <c r="J374" i="5"/>
  <c r="J373" i="5" s="1"/>
  <c r="F376" i="5"/>
  <c r="H376" i="5"/>
  <c r="G190" i="4" s="1"/>
  <c r="I376" i="5"/>
  <c r="J376" i="5"/>
  <c r="F379" i="5"/>
  <c r="H379" i="5"/>
  <c r="G193" i="4" s="1"/>
  <c r="I379" i="5"/>
  <c r="J379" i="5"/>
  <c r="I193" i="4" s="1"/>
  <c r="F380" i="5"/>
  <c r="E194" i="4" s="1"/>
  <c r="H380" i="5"/>
  <c r="G194" i="4" s="1"/>
  <c r="I380" i="5"/>
  <c r="H194" i="4" s="1"/>
  <c r="J380" i="5"/>
  <c r="I194" i="4" s="1"/>
  <c r="H381" i="5"/>
  <c r="G196" i="4" s="1"/>
  <c r="I381" i="5"/>
  <c r="H196" i="4" s="1"/>
  <c r="J381" i="5"/>
  <c r="I196" i="4" s="1"/>
  <c r="F383" i="5"/>
  <c r="F382" i="5" s="1"/>
  <c r="H383" i="5"/>
  <c r="H382" i="5" s="1"/>
  <c r="I383" i="5"/>
  <c r="J383" i="5"/>
  <c r="J382" i="5" s="1"/>
  <c r="F385" i="5"/>
  <c r="E200" i="4" s="1"/>
  <c r="H385" i="5"/>
  <c r="G200" i="4" s="1"/>
  <c r="I385" i="5"/>
  <c r="H200" i="4" s="1"/>
  <c r="J385" i="5"/>
  <c r="I200" i="4" s="1"/>
  <c r="F386" i="5"/>
  <c r="H386" i="5"/>
  <c r="G201" i="4" s="1"/>
  <c r="I386" i="5"/>
  <c r="H201" i="4" s="1"/>
  <c r="J386" i="5"/>
  <c r="I201" i="4" s="1"/>
  <c r="F391" i="5"/>
  <c r="H391" i="5"/>
  <c r="I391" i="5"/>
  <c r="J391" i="5"/>
  <c r="F393" i="5"/>
  <c r="E209" i="4" s="1"/>
  <c r="H393" i="5"/>
  <c r="G209" i="4" s="1"/>
  <c r="I393" i="5"/>
  <c r="H209" i="4" s="1"/>
  <c r="J393" i="5"/>
  <c r="I209" i="4" s="1"/>
  <c r="F394" i="5"/>
  <c r="E210" i="4" s="1"/>
  <c r="H394" i="5"/>
  <c r="G210" i="4" s="1"/>
  <c r="I394" i="5"/>
  <c r="H210" i="4" s="1"/>
  <c r="J394" i="5"/>
  <c r="I210" i="4" s="1"/>
  <c r="F395" i="5"/>
  <c r="E211" i="4" s="1"/>
  <c r="H395" i="5"/>
  <c r="G211" i="4" s="1"/>
  <c r="I395" i="5"/>
  <c r="H211" i="4" s="1"/>
  <c r="J395" i="5"/>
  <c r="I211" i="4" s="1"/>
  <c r="H396" i="5"/>
  <c r="G212" i="4" s="1"/>
  <c r="I396" i="5"/>
  <c r="H212" i="4" s="1"/>
  <c r="J396" i="5"/>
  <c r="I212" i="4" s="1"/>
  <c r="F398" i="5"/>
  <c r="H398" i="5"/>
  <c r="I398" i="5"/>
  <c r="J398" i="5"/>
  <c r="J397" i="5" s="1"/>
  <c r="F400" i="5"/>
  <c r="F399" i="5" s="1"/>
  <c r="H400" i="5"/>
  <c r="H399" i="5" s="1"/>
  <c r="I400" i="5"/>
  <c r="I399" i="5" s="1"/>
  <c r="J400" i="5"/>
  <c r="J399" i="5" s="1"/>
  <c r="F406" i="5"/>
  <c r="E222" i="4" s="1"/>
  <c r="H406" i="5"/>
  <c r="G222" i="4" s="1"/>
  <c r="I406" i="5"/>
  <c r="H222" i="4" s="1"/>
  <c r="J406" i="5"/>
  <c r="I222" i="4" s="1"/>
  <c r="F407" i="5"/>
  <c r="E223" i="4" s="1"/>
  <c r="H407" i="5"/>
  <c r="G223" i="4" s="1"/>
  <c r="I407" i="5"/>
  <c r="H223" i="4" s="1"/>
  <c r="J407" i="5"/>
  <c r="I223" i="4" s="1"/>
  <c r="F409" i="5"/>
  <c r="H409" i="5"/>
  <c r="I409" i="5"/>
  <c r="J409" i="5"/>
  <c r="F415" i="5"/>
  <c r="H415" i="5"/>
  <c r="I415" i="5"/>
  <c r="H231" i="4" s="1"/>
  <c r="J415" i="5"/>
  <c r="F417" i="5"/>
  <c r="H417" i="5"/>
  <c r="I417" i="5"/>
  <c r="J417" i="5"/>
  <c r="F421" i="5"/>
  <c r="H421" i="5"/>
  <c r="I421" i="5"/>
  <c r="J421" i="5"/>
  <c r="F423" i="5"/>
  <c r="F420" i="5" s="1"/>
  <c r="H423" i="5"/>
  <c r="H420" i="5" s="1"/>
  <c r="I423" i="5"/>
  <c r="I420" i="5" s="1"/>
  <c r="J423" i="5"/>
  <c r="J420" i="5" s="1"/>
  <c r="F428" i="5"/>
  <c r="H428" i="5"/>
  <c r="G247" i="4" s="1"/>
  <c r="I428" i="5"/>
  <c r="H247" i="4" s="1"/>
  <c r="J428" i="5"/>
  <c r="I247" i="4" s="1"/>
  <c r="F429" i="5"/>
  <c r="H429" i="5"/>
  <c r="G248" i="4" s="1"/>
  <c r="I429" i="5"/>
  <c r="H248" i="4" s="1"/>
  <c r="J429" i="5"/>
  <c r="I248" i="4" s="1"/>
  <c r="F430" i="5"/>
  <c r="E249" i="4" s="1"/>
  <c r="H430" i="5"/>
  <c r="G249" i="4" s="1"/>
  <c r="I430" i="5"/>
  <c r="H249" i="4" s="1"/>
  <c r="J430" i="5"/>
  <c r="I249" i="4" s="1"/>
  <c r="F433" i="5"/>
  <c r="H433" i="5"/>
  <c r="G253" i="4" s="1"/>
  <c r="I433" i="5"/>
  <c r="H253" i="4" s="1"/>
  <c r="J433" i="5"/>
  <c r="I253" i="4" s="1"/>
  <c r="F434" i="5"/>
  <c r="E254" i="4" s="1"/>
  <c r="H434" i="5"/>
  <c r="G254" i="4" s="1"/>
  <c r="I434" i="5"/>
  <c r="H254" i="4" s="1"/>
  <c r="J434" i="5"/>
  <c r="I254" i="4" s="1"/>
  <c r="F436" i="5"/>
  <c r="H436" i="5"/>
  <c r="G256" i="4" s="1"/>
  <c r="I436" i="5"/>
  <c r="H256" i="4" s="1"/>
  <c r="J436" i="5"/>
  <c r="I256" i="4" s="1"/>
  <c r="F437" i="5"/>
  <c r="E257" i="4" s="1"/>
  <c r="H437" i="5"/>
  <c r="G257" i="4" s="1"/>
  <c r="I437" i="5"/>
  <c r="H257" i="4" s="1"/>
  <c r="J437" i="5"/>
  <c r="I257" i="4" s="1"/>
  <c r="F439" i="5"/>
  <c r="F438" i="5" s="1"/>
  <c r="H439" i="5"/>
  <c r="G259" i="4" s="1"/>
  <c r="I439" i="5"/>
  <c r="H259" i="4" s="1"/>
  <c r="J439" i="5"/>
  <c r="I259" i="4" s="1"/>
  <c r="F441" i="5"/>
  <c r="F440" i="5" s="1"/>
  <c r="H441" i="5"/>
  <c r="G261" i="4" s="1"/>
  <c r="I441" i="5"/>
  <c r="H261" i="4" s="1"/>
  <c r="J441" i="5"/>
  <c r="I261" i="4" s="1"/>
  <c r="F444" i="5"/>
  <c r="H444" i="5"/>
  <c r="G264" i="4" s="1"/>
  <c r="I444" i="5"/>
  <c r="H264" i="4" s="1"/>
  <c r="J444" i="5"/>
  <c r="I264" i="4" s="1"/>
  <c r="F445" i="5"/>
  <c r="H445" i="5"/>
  <c r="I445" i="5"/>
  <c r="J445" i="5"/>
  <c r="F450" i="5"/>
  <c r="F449" i="5" s="1"/>
  <c r="F448" i="5" s="1"/>
  <c r="H450" i="5"/>
  <c r="G271" i="4" s="1"/>
  <c r="I450" i="5"/>
  <c r="H271" i="4" s="1"/>
  <c r="J450" i="5"/>
  <c r="I271" i="4" s="1"/>
  <c r="F451" i="5"/>
  <c r="H451" i="5"/>
  <c r="I451" i="5"/>
  <c r="J451" i="5"/>
  <c r="F484" i="5"/>
  <c r="F483" i="5" s="1"/>
  <c r="H483" i="5"/>
  <c r="I483" i="5"/>
  <c r="J483" i="5"/>
  <c r="F485" i="5"/>
  <c r="H485" i="5"/>
  <c r="I485" i="5"/>
  <c r="J485" i="5"/>
  <c r="F495" i="5"/>
  <c r="F494" i="5" s="1"/>
  <c r="F492" i="5" s="1"/>
  <c r="F491" i="5" s="1"/>
  <c r="F490" i="5" s="1"/>
  <c r="H495" i="5"/>
  <c r="H494" i="5" s="1"/>
  <c r="H492" i="5" s="1"/>
  <c r="H491" i="5" s="1"/>
  <c r="H490" i="5" s="1"/>
  <c r="I495" i="5"/>
  <c r="I494" i="5" s="1"/>
  <c r="I492" i="5" s="1"/>
  <c r="I491" i="5" s="1"/>
  <c r="I490" i="5" s="1"/>
  <c r="J495" i="5"/>
  <c r="J494" i="5" s="1"/>
  <c r="J492" i="5" s="1"/>
  <c r="J491" i="5" s="1"/>
  <c r="J490" i="5" s="1"/>
  <c r="F499" i="5"/>
  <c r="F503" i="5"/>
  <c r="I497" i="5"/>
  <c r="I516" i="5" s="1"/>
  <c r="J497" i="5"/>
  <c r="J516" i="5" s="1"/>
  <c r="F508" i="5"/>
  <c r="F558" i="5"/>
  <c r="H558" i="5"/>
  <c r="I558" i="5"/>
  <c r="J558" i="5"/>
  <c r="F559" i="5"/>
  <c r="H559" i="5"/>
  <c r="I559" i="5"/>
  <c r="J559" i="5"/>
  <c r="F563" i="5"/>
  <c r="F562" i="5" s="1"/>
  <c r="F561" i="5" s="1"/>
  <c r="H563" i="5"/>
  <c r="H562" i="5" s="1"/>
  <c r="H561" i="5" s="1"/>
  <c r="I563" i="5"/>
  <c r="I562" i="5" s="1"/>
  <c r="I561" i="5" s="1"/>
  <c r="J563" i="5"/>
  <c r="J562" i="5" s="1"/>
  <c r="J561" i="5" s="1"/>
  <c r="H567" i="5"/>
  <c r="H566" i="5" s="1"/>
  <c r="H565" i="5" s="1"/>
  <c r="I567" i="5"/>
  <c r="I566" i="5" s="1"/>
  <c r="I565" i="5" s="1"/>
  <c r="J567" i="5"/>
  <c r="J566" i="5" s="1"/>
  <c r="J565" i="5" s="1"/>
  <c r="F573" i="5"/>
  <c r="F572" i="5" s="1"/>
  <c r="H573" i="5"/>
  <c r="H572" i="5" s="1"/>
  <c r="I573" i="5"/>
  <c r="I572" i="5" s="1"/>
  <c r="J573" i="5"/>
  <c r="J572" i="5" s="1"/>
  <c r="F581" i="5"/>
  <c r="F580" i="5" s="1"/>
  <c r="F579" i="5" s="1"/>
  <c r="F578" i="5" s="1"/>
  <c r="H581" i="5"/>
  <c r="H580" i="5" s="1"/>
  <c r="H579" i="5" s="1"/>
  <c r="H578" i="5" s="1"/>
  <c r="H551" i="5" s="1"/>
  <c r="I581" i="5"/>
  <c r="I580" i="5" s="1"/>
  <c r="I579" i="5" s="1"/>
  <c r="I578" i="5" s="1"/>
  <c r="I551" i="5" s="1"/>
  <c r="J581" i="5"/>
  <c r="J580" i="5" s="1"/>
  <c r="J579" i="5" s="1"/>
  <c r="J578" i="5" s="1"/>
  <c r="J551" i="5" s="1"/>
  <c r="F586" i="5"/>
  <c r="H586" i="5"/>
  <c r="I586" i="5"/>
  <c r="J586" i="5"/>
  <c r="F595" i="5"/>
  <c r="F594" i="5" s="1"/>
  <c r="F593" i="5" s="1"/>
  <c r="H595" i="5"/>
  <c r="H594" i="5" s="1"/>
  <c r="H593" i="5" s="1"/>
  <c r="H585" i="5" s="1"/>
  <c r="H584" i="5" s="1"/>
  <c r="I595" i="5"/>
  <c r="I594" i="5" s="1"/>
  <c r="I593" i="5" s="1"/>
  <c r="J595" i="5"/>
  <c r="J594" i="5" s="1"/>
  <c r="J593" i="5" s="1"/>
  <c r="J585" i="5" s="1"/>
  <c r="J584" i="5" s="1"/>
  <c r="F598" i="5"/>
  <c r="H598" i="5"/>
  <c r="I598" i="5"/>
  <c r="J598" i="5"/>
  <c r="F602" i="5"/>
  <c r="F601" i="5" s="1"/>
  <c r="F600" i="5" s="1"/>
  <c r="H602" i="5"/>
  <c r="H601" i="5" s="1"/>
  <c r="H600" i="5" s="1"/>
  <c r="H597" i="5" s="1"/>
  <c r="I602" i="5"/>
  <c r="I601" i="5" s="1"/>
  <c r="I600" i="5" s="1"/>
  <c r="J602" i="5"/>
  <c r="J601" i="5" s="1"/>
  <c r="J600" i="5" s="1"/>
  <c r="J597" i="5" s="1"/>
  <c r="F603" i="5"/>
  <c r="H603" i="5"/>
  <c r="I603" i="5"/>
  <c r="J603" i="5"/>
  <c r="F257" i="6"/>
  <c r="G257" i="6"/>
  <c r="H257" i="6"/>
  <c r="F643" i="6"/>
  <c r="F642" i="6" s="1"/>
  <c r="F640" i="6"/>
  <c r="G640" i="6"/>
  <c r="H640" i="6"/>
  <c r="F638" i="6"/>
  <c r="G638" i="6"/>
  <c r="H638" i="6"/>
  <c r="F636" i="6"/>
  <c r="G636" i="6"/>
  <c r="H636" i="6"/>
  <c r="F633" i="6"/>
  <c r="G633" i="6"/>
  <c r="H633" i="6"/>
  <c r="F630" i="6"/>
  <c r="G630" i="6"/>
  <c r="H630" i="6"/>
  <c r="F627" i="6"/>
  <c r="G627" i="6"/>
  <c r="H627" i="6"/>
  <c r="F625" i="6"/>
  <c r="G625" i="6"/>
  <c r="H625" i="6"/>
  <c r="F621" i="6"/>
  <c r="G621" i="6"/>
  <c r="H621" i="6"/>
  <c r="F610" i="6"/>
  <c r="F609" i="6" s="1"/>
  <c r="G610" i="6"/>
  <c r="G609" i="6" s="1"/>
  <c r="H610" i="6"/>
  <c r="H609" i="6" s="1"/>
  <c r="F18" i="1" l="1"/>
  <c r="F17" i="1" s="1"/>
  <c r="F43" i="1" s="1"/>
  <c r="C9" i="9" s="1"/>
  <c r="H74" i="4"/>
  <c r="G74" i="4"/>
  <c r="J12" i="5"/>
  <c r="I12" i="5"/>
  <c r="I74" i="4"/>
  <c r="H12" i="5"/>
  <c r="I114" i="4"/>
  <c r="G163" i="4"/>
  <c r="G161" i="4" s="1"/>
  <c r="I163" i="4"/>
  <c r="I161" i="4" s="1"/>
  <c r="H163" i="4"/>
  <c r="H161" i="4" s="1"/>
  <c r="I96" i="1"/>
  <c r="F20" i="9"/>
  <c r="F19" i="9" s="1"/>
  <c r="J96" i="1"/>
  <c r="G20" i="9"/>
  <c r="G19" i="9" s="1"/>
  <c r="I585" i="5"/>
  <c r="I584" i="5" s="1"/>
  <c r="I86" i="4"/>
  <c r="H84" i="4"/>
  <c r="H114" i="4"/>
  <c r="H86" i="4"/>
  <c r="G84" i="4"/>
  <c r="G114" i="4"/>
  <c r="I84" i="4"/>
  <c r="G86" i="4"/>
  <c r="J449" i="5"/>
  <c r="J448" i="5" s="1"/>
  <c r="I270" i="4"/>
  <c r="I269" i="4" s="1"/>
  <c r="I268" i="4" s="1"/>
  <c r="J440" i="5"/>
  <c r="I260" i="4"/>
  <c r="G131" i="4"/>
  <c r="I175" i="4"/>
  <c r="J181" i="5"/>
  <c r="I168" i="4"/>
  <c r="J174" i="5"/>
  <c r="I157" i="4"/>
  <c r="J139" i="5"/>
  <c r="I93" i="4"/>
  <c r="I91" i="4" s="1"/>
  <c r="J136" i="5"/>
  <c r="I89" i="4"/>
  <c r="I88" i="4" s="1"/>
  <c r="J127" i="5"/>
  <c r="J126" i="5" s="1"/>
  <c r="I78" i="4"/>
  <c r="I77" i="4" s="1"/>
  <c r="H197" i="5"/>
  <c r="H193" i="5" s="1"/>
  <c r="G188" i="4"/>
  <c r="G187" i="4" s="1"/>
  <c r="J552" i="5"/>
  <c r="G39" i="9"/>
  <c r="G38" i="9" s="1"/>
  <c r="I552" i="5"/>
  <c r="F39" i="9"/>
  <c r="F38" i="9" s="1"/>
  <c r="I517" i="5"/>
  <c r="F37" i="9"/>
  <c r="F36" i="9" s="1"/>
  <c r="I449" i="5"/>
  <c r="I448" i="5" s="1"/>
  <c r="I447" i="5" s="1"/>
  <c r="H270" i="4"/>
  <c r="H269" i="4" s="1"/>
  <c r="H268" i="4" s="1"/>
  <c r="I440" i="5"/>
  <c r="H260" i="4"/>
  <c r="I438" i="5"/>
  <c r="H258" i="4"/>
  <c r="H175" i="4"/>
  <c r="I181" i="5"/>
  <c r="H168" i="4"/>
  <c r="I174" i="5"/>
  <c r="H157" i="4"/>
  <c r="I139" i="5"/>
  <c r="H93" i="4"/>
  <c r="H91" i="4" s="1"/>
  <c r="I136" i="5"/>
  <c r="H89" i="4"/>
  <c r="H88" i="4" s="1"/>
  <c r="I127" i="5"/>
  <c r="I126" i="5" s="1"/>
  <c r="H78" i="4"/>
  <c r="H77" i="4" s="1"/>
  <c r="H188" i="4"/>
  <c r="H187" i="4" s="1"/>
  <c r="I188" i="4"/>
  <c r="I187" i="4" s="1"/>
  <c r="J517" i="5"/>
  <c r="G37" i="9"/>
  <c r="G36" i="9" s="1"/>
  <c r="J438" i="5"/>
  <c r="I258" i="4"/>
  <c r="H552" i="5"/>
  <c r="E39" i="9"/>
  <c r="E38" i="9" s="1"/>
  <c r="H449" i="5"/>
  <c r="H448" i="5" s="1"/>
  <c r="H447" i="5" s="1"/>
  <c r="G270" i="4"/>
  <c r="G269" i="4" s="1"/>
  <c r="G268" i="4" s="1"/>
  <c r="H438" i="5"/>
  <c r="G258" i="4"/>
  <c r="G175" i="4"/>
  <c r="H181" i="5"/>
  <c r="G168" i="4"/>
  <c r="H174" i="5"/>
  <c r="G157" i="4"/>
  <c r="H139" i="5"/>
  <c r="G93" i="4"/>
  <c r="G91" i="4" s="1"/>
  <c r="H136" i="5"/>
  <c r="G89" i="4"/>
  <c r="G88" i="4" s="1"/>
  <c r="H127" i="5"/>
  <c r="H126" i="5" s="1"/>
  <c r="G78" i="4"/>
  <c r="G77" i="4" s="1"/>
  <c r="H95" i="1"/>
  <c r="F91" i="1"/>
  <c r="F76" i="1"/>
  <c r="F68" i="1" s="1"/>
  <c r="H68" i="1"/>
  <c r="J68" i="1"/>
  <c r="I68" i="1"/>
  <c r="H9" i="1"/>
  <c r="I9" i="1"/>
  <c r="F49" i="1"/>
  <c r="C13" i="9" s="1"/>
  <c r="E16" i="9"/>
  <c r="G16" i="9"/>
  <c r="F16" i="9"/>
  <c r="J480" i="5"/>
  <c r="I480" i="5"/>
  <c r="H480" i="5"/>
  <c r="H82" i="5"/>
  <c r="E114" i="4"/>
  <c r="G661" i="6"/>
  <c r="G647" i="6" s="1"/>
  <c r="G646" i="6" s="1"/>
  <c r="G645" i="6" s="1"/>
  <c r="I112" i="1"/>
  <c r="I120" i="1" s="1"/>
  <c r="F24" i="9" s="1"/>
  <c r="F23" i="9" s="1"/>
  <c r="E175" i="4"/>
  <c r="G11" i="9"/>
  <c r="G10" i="9" s="1"/>
  <c r="H112" i="1"/>
  <c r="H120" i="1" s="1"/>
  <c r="E24" i="9" s="1"/>
  <c r="E68" i="4"/>
  <c r="F11" i="9"/>
  <c r="F10" i="9" s="1"/>
  <c r="F661" i="6"/>
  <c r="F647" i="6" s="1"/>
  <c r="F646" i="6" s="1"/>
  <c r="F645" i="6" s="1"/>
  <c r="D647" i="6"/>
  <c r="D646" i="6" s="1"/>
  <c r="D645" i="6" s="1"/>
  <c r="C11" i="9"/>
  <c r="E11" i="9"/>
  <c r="E10" i="9" s="1"/>
  <c r="H43" i="1"/>
  <c r="J112" i="1"/>
  <c r="J120" i="1" s="1"/>
  <c r="G24" i="9" s="1"/>
  <c r="G23" i="9" s="1"/>
  <c r="G70" i="4"/>
  <c r="H258" i="5"/>
  <c r="H257" i="5" s="1"/>
  <c r="J258" i="5"/>
  <c r="J257" i="5" s="1"/>
  <c r="I258" i="5"/>
  <c r="I257" i="5" s="1"/>
  <c r="J9" i="1"/>
  <c r="I43" i="1"/>
  <c r="J43" i="1"/>
  <c r="F112" i="1"/>
  <c r="F120" i="1" s="1"/>
  <c r="C24" i="9" s="1"/>
  <c r="F480" i="5"/>
  <c r="C661" i="6"/>
  <c r="H661" i="6"/>
  <c r="H647" i="6" s="1"/>
  <c r="H646" i="6" s="1"/>
  <c r="H645" i="6" s="1"/>
  <c r="J36" i="5"/>
  <c r="F36" i="5"/>
  <c r="H36" i="5"/>
  <c r="E84" i="4"/>
  <c r="I36" i="5"/>
  <c r="H533" i="6"/>
  <c r="H532" i="6" s="1"/>
  <c r="H531" i="6" s="1"/>
  <c r="D533" i="6"/>
  <c r="D532" i="6" s="1"/>
  <c r="D531" i="6" s="1"/>
  <c r="F533" i="6"/>
  <c r="F532" i="6" s="1"/>
  <c r="F531" i="6" s="1"/>
  <c r="C533" i="6"/>
  <c r="C532" i="6" s="1"/>
  <c r="C531" i="6" s="1"/>
  <c r="G533" i="6"/>
  <c r="G532" i="6" s="1"/>
  <c r="G531" i="6" s="1"/>
  <c r="J443" i="5"/>
  <c r="J442" i="5" s="1"/>
  <c r="I263" i="4"/>
  <c r="I262" i="4" s="1"/>
  <c r="F443" i="5"/>
  <c r="F442" i="5" s="1"/>
  <c r="E264" i="4"/>
  <c r="E263" i="4" s="1"/>
  <c r="E262" i="4" s="1"/>
  <c r="I443" i="5"/>
  <c r="I442" i="5" s="1"/>
  <c r="H263" i="4"/>
  <c r="H262" i="4" s="1"/>
  <c r="F584" i="5"/>
  <c r="F414" i="5"/>
  <c r="F411" i="5" s="1"/>
  <c r="F408" i="5" s="1"/>
  <c r="E231" i="4"/>
  <c r="E230" i="4" s="1"/>
  <c r="E227" i="4" s="1"/>
  <c r="E224" i="4" s="1"/>
  <c r="J414" i="5"/>
  <c r="J411" i="5" s="1"/>
  <c r="J408" i="5" s="1"/>
  <c r="I231" i="4"/>
  <c r="I230" i="4" s="1"/>
  <c r="I227" i="4" s="1"/>
  <c r="I224" i="4" s="1"/>
  <c r="H414" i="5"/>
  <c r="H411" i="5" s="1"/>
  <c r="H408" i="5" s="1"/>
  <c r="G231" i="4"/>
  <c r="G230" i="4" s="1"/>
  <c r="G227" i="4" s="1"/>
  <c r="G224" i="4" s="1"/>
  <c r="I214" i="4"/>
  <c r="I213" i="4" s="1"/>
  <c r="H397" i="5"/>
  <c r="G214" i="4"/>
  <c r="G213" i="4" s="1"/>
  <c r="F397" i="5"/>
  <c r="E214" i="4"/>
  <c r="E213" i="4" s="1"/>
  <c r="I397" i="5"/>
  <c r="H214" i="4"/>
  <c r="H213" i="4" s="1"/>
  <c r="J389" i="5"/>
  <c r="I206" i="4"/>
  <c r="I204" i="4" s="1"/>
  <c r="I389" i="5"/>
  <c r="H206" i="4"/>
  <c r="H204" i="4" s="1"/>
  <c r="H389" i="5"/>
  <c r="G206" i="4"/>
  <c r="G204" i="4" s="1"/>
  <c r="G199" i="4"/>
  <c r="F389" i="5"/>
  <c r="E206" i="4"/>
  <c r="E204" i="4" s="1"/>
  <c r="E201" i="4"/>
  <c r="E199" i="4" s="1"/>
  <c r="I103" i="4"/>
  <c r="I199" i="4"/>
  <c r="H103" i="4"/>
  <c r="H199" i="4"/>
  <c r="G103" i="4"/>
  <c r="E85" i="4"/>
  <c r="E166" i="4"/>
  <c r="I375" i="5"/>
  <c r="H190" i="4"/>
  <c r="H189" i="4" s="1"/>
  <c r="F375" i="5"/>
  <c r="E190" i="4"/>
  <c r="E189" i="4" s="1"/>
  <c r="J375" i="5"/>
  <c r="I190" i="4"/>
  <c r="I189" i="4" s="1"/>
  <c r="I166" i="4"/>
  <c r="G166" i="4"/>
  <c r="H166" i="4"/>
  <c r="F56" i="5"/>
  <c r="E163" i="4"/>
  <c r="E161" i="4" s="1"/>
  <c r="H160" i="4"/>
  <c r="G160" i="4"/>
  <c r="I160" i="4"/>
  <c r="E129" i="4"/>
  <c r="G129" i="4"/>
  <c r="I45" i="5"/>
  <c r="H45" i="5"/>
  <c r="I129" i="4"/>
  <c r="F45" i="5"/>
  <c r="E127" i="4"/>
  <c r="H129" i="4"/>
  <c r="J45" i="5"/>
  <c r="F308" i="5"/>
  <c r="E121" i="4"/>
  <c r="E120" i="4" s="1"/>
  <c r="I308" i="5"/>
  <c r="H121" i="4"/>
  <c r="H120" i="4" s="1"/>
  <c r="H308" i="5"/>
  <c r="G121" i="4"/>
  <c r="G120" i="4" s="1"/>
  <c r="J308" i="5"/>
  <c r="I121" i="4"/>
  <c r="I120" i="4" s="1"/>
  <c r="H119" i="5"/>
  <c r="H118" i="5" s="1"/>
  <c r="J119" i="5"/>
  <c r="J118" i="5" s="1"/>
  <c r="I119" i="5"/>
  <c r="I118" i="5" s="1"/>
  <c r="E72" i="4"/>
  <c r="F119" i="5"/>
  <c r="F118" i="5" s="1"/>
  <c r="H193" i="4"/>
  <c r="H191" i="4" s="1"/>
  <c r="I377" i="5"/>
  <c r="I191" i="4"/>
  <c r="E193" i="4"/>
  <c r="J377" i="5"/>
  <c r="G191" i="4"/>
  <c r="H377" i="5"/>
  <c r="H272" i="5"/>
  <c r="H343" i="5"/>
  <c r="H350" i="5"/>
  <c r="H325" i="5"/>
  <c r="H314" i="5"/>
  <c r="H303" i="5"/>
  <c r="H298" i="5"/>
  <c r="H292" i="5"/>
  <c r="J350" i="5"/>
  <c r="I350" i="5"/>
  <c r="G139" i="4"/>
  <c r="G138" i="4" s="1"/>
  <c r="F597" i="5"/>
  <c r="F596" i="5" s="1"/>
  <c r="E100" i="4"/>
  <c r="E98" i="4"/>
  <c r="E111" i="4"/>
  <c r="E108" i="4"/>
  <c r="E105" i="4"/>
  <c r="F502" i="5"/>
  <c r="G252" i="4"/>
  <c r="H252" i="4"/>
  <c r="I252" i="4"/>
  <c r="J230" i="5"/>
  <c r="J227" i="5" s="1"/>
  <c r="J223" i="5" s="1"/>
  <c r="J193" i="5"/>
  <c r="J272" i="5"/>
  <c r="I272" i="5"/>
  <c r="H235" i="4"/>
  <c r="G235" i="4"/>
  <c r="E235" i="4"/>
  <c r="I235" i="4"/>
  <c r="I132" i="4"/>
  <c r="I100" i="4"/>
  <c r="I98" i="4"/>
  <c r="G171" i="4"/>
  <c r="G170" i="4" s="1"/>
  <c r="I186" i="4"/>
  <c r="I113" i="4"/>
  <c r="I111" i="4"/>
  <c r="I108" i="4"/>
  <c r="I105" i="4"/>
  <c r="E247" i="4"/>
  <c r="I198" i="4"/>
  <c r="I197" i="4" s="1"/>
  <c r="I174" i="4"/>
  <c r="H137" i="4"/>
  <c r="H135" i="4" s="1"/>
  <c r="G80" i="4"/>
  <c r="G79" i="4" s="1"/>
  <c r="H255" i="4"/>
  <c r="G186" i="4"/>
  <c r="E184" i="4"/>
  <c r="G132" i="4"/>
  <c r="G116" i="4"/>
  <c r="G115" i="4" s="1"/>
  <c r="G113" i="4"/>
  <c r="G111" i="4"/>
  <c r="G108" i="4"/>
  <c r="G105" i="4"/>
  <c r="H108" i="4"/>
  <c r="H105" i="4"/>
  <c r="F474" i="5"/>
  <c r="F473" i="5" s="1"/>
  <c r="E157" i="4"/>
  <c r="E93" i="4"/>
  <c r="E91" i="4" s="1"/>
  <c r="E113" i="4"/>
  <c r="E248" i="4"/>
  <c r="E132" i="4"/>
  <c r="E155" i="4"/>
  <c r="E151" i="4" s="1"/>
  <c r="E116" i="4"/>
  <c r="E115" i="4" s="1"/>
  <c r="G174" i="4"/>
  <c r="I182" i="4"/>
  <c r="I181" i="4" s="1"/>
  <c r="G184" i="4"/>
  <c r="G100" i="4"/>
  <c r="G98" i="4"/>
  <c r="E253" i="4"/>
  <c r="E252" i="4" s="1"/>
  <c r="E150" i="4"/>
  <c r="E147" i="4" s="1"/>
  <c r="H124" i="4"/>
  <c r="H123" i="4" s="1"/>
  <c r="I414" i="5"/>
  <c r="I411" i="5" s="1"/>
  <c r="I408" i="5" s="1"/>
  <c r="H230" i="4"/>
  <c r="H227" i="4" s="1"/>
  <c r="H224" i="4" s="1"/>
  <c r="I382" i="5"/>
  <c r="H198" i="4"/>
  <c r="H197" i="4" s="1"/>
  <c r="H373" i="5"/>
  <c r="F282" i="5"/>
  <c r="E95" i="4"/>
  <c r="E94" i="4" s="1"/>
  <c r="J268" i="5"/>
  <c r="J265" i="5" s="1"/>
  <c r="I80" i="4"/>
  <c r="I79" i="4" s="1"/>
  <c r="E221" i="4"/>
  <c r="E220" i="4" s="1"/>
  <c r="E219" i="4" s="1"/>
  <c r="H184" i="4"/>
  <c r="H98" i="4"/>
  <c r="E174" i="4"/>
  <c r="H186" i="4"/>
  <c r="F367" i="5"/>
  <c r="E182" i="4"/>
  <c r="E181" i="4" s="1"/>
  <c r="F356" i="5"/>
  <c r="F355" i="5" s="1"/>
  <c r="E171" i="4"/>
  <c r="E169" i="4" s="1"/>
  <c r="H155" i="4"/>
  <c r="H151" i="4" s="1"/>
  <c r="H150" i="4"/>
  <c r="H147" i="4" s="1"/>
  <c r="H323" i="5"/>
  <c r="G137" i="4"/>
  <c r="G135" i="4" s="1"/>
  <c r="H311" i="5"/>
  <c r="G124" i="4"/>
  <c r="G123" i="4" s="1"/>
  <c r="H174" i="4"/>
  <c r="H131" i="4"/>
  <c r="H221" i="4"/>
  <c r="H220" i="4" s="1"/>
  <c r="H219" i="4" s="1"/>
  <c r="H375" i="5"/>
  <c r="G189" i="4"/>
  <c r="F277" i="5"/>
  <c r="E89" i="4"/>
  <c r="E88" i="4" s="1"/>
  <c r="I255" i="5"/>
  <c r="H443" i="5"/>
  <c r="H442" i="5" s="1"/>
  <c r="G263" i="4"/>
  <c r="G262" i="4" s="1"/>
  <c r="H440" i="5"/>
  <c r="G260" i="4"/>
  <c r="G255" i="4"/>
  <c r="G221" i="4"/>
  <c r="G220" i="4" s="1"/>
  <c r="G219" i="4" s="1"/>
  <c r="I184" i="4"/>
  <c r="E256" i="4"/>
  <c r="E255" i="4" s="1"/>
  <c r="H182" i="4"/>
  <c r="H181" i="4" s="1"/>
  <c r="I155" i="4"/>
  <c r="I151" i="4" s="1"/>
  <c r="I150" i="4"/>
  <c r="I147" i="4" s="1"/>
  <c r="I95" i="4"/>
  <c r="I94" i="4" s="1"/>
  <c r="E80" i="4"/>
  <c r="E79" i="4" s="1"/>
  <c r="E65" i="4"/>
  <c r="E64" i="4" s="1"/>
  <c r="I131" i="4"/>
  <c r="I116" i="4"/>
  <c r="I115" i="4" s="1"/>
  <c r="H100" i="4"/>
  <c r="E271" i="4"/>
  <c r="E270" i="4" s="1"/>
  <c r="E269" i="4" s="1"/>
  <c r="E268" i="4" s="1"/>
  <c r="E261" i="4"/>
  <c r="E260" i="4" s="1"/>
  <c r="G198" i="4"/>
  <c r="G197" i="4" s="1"/>
  <c r="G182" i="4"/>
  <c r="G181" i="4" s="1"/>
  <c r="I171" i="4"/>
  <c r="E137" i="4"/>
  <c r="E135" i="4" s="1"/>
  <c r="E124" i="4"/>
  <c r="E123" i="4" s="1"/>
  <c r="H95" i="4"/>
  <c r="H94" i="4" s="1"/>
  <c r="E78" i="4"/>
  <c r="E77" i="4" s="1"/>
  <c r="I255" i="4"/>
  <c r="I221" i="4"/>
  <c r="I220" i="4" s="1"/>
  <c r="I219" i="4" s="1"/>
  <c r="H132" i="4"/>
  <c r="H116" i="4"/>
  <c r="H115" i="4" s="1"/>
  <c r="H113" i="4"/>
  <c r="H111" i="4"/>
  <c r="E259" i="4"/>
  <c r="E258" i="4" s="1"/>
  <c r="E198" i="4"/>
  <c r="E197" i="4" s="1"/>
  <c r="E188" i="4"/>
  <c r="E187" i="4" s="1"/>
  <c r="H171" i="4"/>
  <c r="G155" i="4"/>
  <c r="G151" i="4" s="1"/>
  <c r="G150" i="4"/>
  <c r="G147" i="4" s="1"/>
  <c r="I137" i="4"/>
  <c r="I135" i="4" s="1"/>
  <c r="I124" i="4"/>
  <c r="I123" i="4" s="1"/>
  <c r="G95" i="4"/>
  <c r="G94" i="4" s="1"/>
  <c r="H80" i="4"/>
  <c r="H79" i="4" s="1"/>
  <c r="I138" i="4"/>
  <c r="H138" i="4"/>
  <c r="J55" i="1"/>
  <c r="J66" i="1" s="1"/>
  <c r="J67" i="1" s="1"/>
  <c r="I208" i="4"/>
  <c r="H208" i="4"/>
  <c r="G208" i="4"/>
  <c r="I65" i="4"/>
  <c r="I64" i="4" s="1"/>
  <c r="H65" i="4"/>
  <c r="H64" i="4" s="1"/>
  <c r="G65" i="4"/>
  <c r="G64" i="4" s="1"/>
  <c r="I55" i="1"/>
  <c r="I66" i="1" s="1"/>
  <c r="I67" i="1" s="1"/>
  <c r="H55" i="1"/>
  <c r="H66" i="1" s="1"/>
  <c r="H67" i="1" s="1"/>
  <c r="F55" i="1"/>
  <c r="F359" i="5"/>
  <c r="F358" i="5" s="1"/>
  <c r="H635" i="6"/>
  <c r="G635" i="6"/>
  <c r="H435" i="5"/>
  <c r="H427" i="5"/>
  <c r="I465" i="5"/>
  <c r="I464" i="5" s="1"/>
  <c r="H369" i="5"/>
  <c r="H285" i="5"/>
  <c r="G620" i="6"/>
  <c r="F279" i="5"/>
  <c r="F314" i="5"/>
  <c r="F303" i="5"/>
  <c r="I474" i="5"/>
  <c r="I473" i="5" s="1"/>
  <c r="G629" i="6"/>
  <c r="I384" i="5"/>
  <c r="F557" i="5"/>
  <c r="F556" i="5" s="1"/>
  <c r="J427" i="5"/>
  <c r="H359" i="5"/>
  <c r="H358" i="5" s="1"/>
  <c r="F292" i="5"/>
  <c r="I186" i="5"/>
  <c r="I185" i="5" s="1"/>
  <c r="I149" i="5"/>
  <c r="I146" i="5"/>
  <c r="I59" i="5"/>
  <c r="H465" i="5"/>
  <c r="H464" i="5" s="1"/>
  <c r="H474" i="5"/>
  <c r="H473" i="5" s="1"/>
  <c r="H557" i="5"/>
  <c r="H556" i="5" s="1"/>
  <c r="F432" i="5"/>
  <c r="H405" i="5"/>
  <c r="H404" i="5" s="1"/>
  <c r="H403" i="5" s="1"/>
  <c r="J314" i="5"/>
  <c r="F620" i="6"/>
  <c r="F465" i="5"/>
  <c r="F464" i="5" s="1"/>
  <c r="I432" i="5"/>
  <c r="F384" i="5"/>
  <c r="J369" i="5"/>
  <c r="I303" i="5"/>
  <c r="J298" i="5"/>
  <c r="I83" i="5"/>
  <c r="I82" i="5" s="1"/>
  <c r="H629" i="6"/>
  <c r="F635" i="6"/>
  <c r="J557" i="5"/>
  <c r="J556" i="5" s="1"/>
  <c r="F457" i="5"/>
  <c r="F435" i="5"/>
  <c r="H432" i="5"/>
  <c r="I427" i="5"/>
  <c r="F405" i="5"/>
  <c r="F404" i="5" s="1"/>
  <c r="F403" i="5" s="1"/>
  <c r="J392" i="5"/>
  <c r="H384" i="5"/>
  <c r="I369" i="5"/>
  <c r="J325" i="5"/>
  <c r="I314" i="5"/>
  <c r="I298" i="5"/>
  <c r="J292" i="5"/>
  <c r="I279" i="5"/>
  <c r="H249" i="5"/>
  <c r="H248" i="5" s="1"/>
  <c r="H186" i="5"/>
  <c r="H185" i="5" s="1"/>
  <c r="H149" i="5"/>
  <c r="H146" i="5"/>
  <c r="H63" i="5"/>
  <c r="H62" i="5" s="1"/>
  <c r="H59" i="5"/>
  <c r="H30" i="5"/>
  <c r="J279" i="5"/>
  <c r="I249" i="5"/>
  <c r="I30" i="5"/>
  <c r="I557" i="5"/>
  <c r="I556" i="5" s="1"/>
  <c r="J435" i="5"/>
  <c r="J405" i="5"/>
  <c r="J404" i="5" s="1"/>
  <c r="J403" i="5" s="1"/>
  <c r="I392" i="5"/>
  <c r="J359" i="5"/>
  <c r="J358" i="5" s="1"/>
  <c r="J343" i="5"/>
  <c r="I325" i="5"/>
  <c r="I292" i="5"/>
  <c r="J285" i="5"/>
  <c r="H279" i="5"/>
  <c r="F249" i="5"/>
  <c r="F248" i="5" s="1"/>
  <c r="F186" i="5"/>
  <c r="F185" i="5" s="1"/>
  <c r="F149" i="5"/>
  <c r="F146" i="5"/>
  <c r="F83" i="5"/>
  <c r="F82" i="5" s="1"/>
  <c r="F78" i="5" s="1"/>
  <c r="F73" i="5" s="1"/>
  <c r="F63" i="5"/>
  <c r="F62" i="5" s="1"/>
  <c r="F59" i="5"/>
  <c r="F30" i="5"/>
  <c r="J465" i="5"/>
  <c r="J464" i="5" s="1"/>
  <c r="I63" i="5"/>
  <c r="I62" i="5" s="1"/>
  <c r="F629" i="6"/>
  <c r="I435" i="5"/>
  <c r="J432" i="5"/>
  <c r="F427" i="5"/>
  <c r="I405" i="5"/>
  <c r="I404" i="5" s="1"/>
  <c r="I403" i="5" s="1"/>
  <c r="H392" i="5"/>
  <c r="J384" i="5"/>
  <c r="I359" i="5"/>
  <c r="I358" i="5" s="1"/>
  <c r="I343" i="5"/>
  <c r="J303" i="5"/>
  <c r="F298" i="5"/>
  <c r="I285" i="5"/>
  <c r="J249" i="5"/>
  <c r="J248" i="5" s="1"/>
  <c r="J186" i="5"/>
  <c r="J185" i="5" s="1"/>
  <c r="J149" i="5"/>
  <c r="J146" i="5"/>
  <c r="J83" i="5"/>
  <c r="J82" i="5" s="1"/>
  <c r="J63" i="5"/>
  <c r="J62" i="5" s="1"/>
  <c r="J59" i="5"/>
  <c r="J30" i="5"/>
  <c r="J474" i="5"/>
  <c r="J473" i="5" s="1"/>
  <c r="H571" i="5"/>
  <c r="F447" i="5"/>
  <c r="J571" i="5"/>
  <c r="I230" i="5"/>
  <c r="I227" i="5" s="1"/>
  <c r="I223" i="5" s="1"/>
  <c r="I193" i="5"/>
  <c r="F498" i="5"/>
  <c r="J447" i="5"/>
  <c r="H265" i="5"/>
  <c r="H230" i="5"/>
  <c r="H227" i="5" s="1"/>
  <c r="H223" i="5" s="1"/>
  <c r="H66" i="5"/>
  <c r="I597" i="5"/>
  <c r="I596" i="5" s="1"/>
  <c r="F265" i="5"/>
  <c r="F230" i="5"/>
  <c r="F227" i="5" s="1"/>
  <c r="F223" i="5" s="1"/>
  <c r="F193" i="5"/>
  <c r="H596" i="5"/>
  <c r="F571" i="5"/>
  <c r="J66" i="5"/>
  <c r="I265" i="5"/>
  <c r="I66" i="5"/>
  <c r="H605" i="5"/>
  <c r="H606" i="5" s="1"/>
  <c r="I571" i="5"/>
  <c r="F66" i="5"/>
  <c r="J596" i="5"/>
  <c r="J605" i="5"/>
  <c r="J606" i="5" s="1"/>
  <c r="F130" i="5"/>
  <c r="F12" i="5"/>
  <c r="H620" i="6"/>
  <c r="E484" i="5"/>
  <c r="I8" i="1" l="1"/>
  <c r="G15" i="9"/>
  <c r="F15" i="9"/>
  <c r="J8" i="1"/>
  <c r="H8" i="1"/>
  <c r="I130" i="5"/>
  <c r="H130" i="5"/>
  <c r="J130" i="5"/>
  <c r="H96" i="1"/>
  <c r="E20" i="9"/>
  <c r="E19" i="9" s="1"/>
  <c r="E15" i="9" s="1"/>
  <c r="J15" i="1"/>
  <c r="G7" i="9" s="1"/>
  <c r="I15" i="1"/>
  <c r="F7" i="9" s="1"/>
  <c r="H15" i="1"/>
  <c r="F66" i="1"/>
  <c r="F9" i="9"/>
  <c r="F8" i="9" s="1"/>
  <c r="I44" i="1"/>
  <c r="E9" i="9"/>
  <c r="H44" i="1"/>
  <c r="G9" i="9"/>
  <c r="G8" i="9" s="1"/>
  <c r="J44" i="1"/>
  <c r="C10" i="9"/>
  <c r="H84" i="1"/>
  <c r="I84" i="1"/>
  <c r="I97" i="1" s="1"/>
  <c r="J84" i="1"/>
  <c r="J97" i="1" s="1"/>
  <c r="F84" i="1"/>
  <c r="C16" i="9" s="1"/>
  <c r="H121" i="1"/>
  <c r="J121" i="1"/>
  <c r="I121" i="1"/>
  <c r="C647" i="6"/>
  <c r="C646" i="6" s="1"/>
  <c r="C645" i="6" s="1"/>
  <c r="H463" i="5"/>
  <c r="H455" i="5" s="1"/>
  <c r="I463" i="5"/>
  <c r="I455" i="5" s="1"/>
  <c r="J463" i="5"/>
  <c r="J455" i="5" s="1"/>
  <c r="H78" i="5"/>
  <c r="H73" i="5" s="1"/>
  <c r="F463" i="5"/>
  <c r="F8" i="1"/>
  <c r="F122" i="1" s="1"/>
  <c r="H44" i="5"/>
  <c r="I78" i="5"/>
  <c r="J78" i="5"/>
  <c r="I555" i="5"/>
  <c r="I554" i="5" s="1"/>
  <c r="I582" i="5" s="1"/>
  <c r="I583" i="5" s="1"/>
  <c r="H555" i="5"/>
  <c r="H554" i="5" s="1"/>
  <c r="J555" i="5"/>
  <c r="J554" i="5" s="1"/>
  <c r="J582" i="5" s="1"/>
  <c r="J583" i="5" s="1"/>
  <c r="G203" i="4"/>
  <c r="G202" i="4" s="1"/>
  <c r="H388" i="5"/>
  <c r="H387" i="5" s="1"/>
  <c r="J388" i="5"/>
  <c r="J387" i="5" s="1"/>
  <c r="H183" i="4"/>
  <c r="H180" i="4" s="1"/>
  <c r="I164" i="4"/>
  <c r="H246" i="4"/>
  <c r="H245" i="4" s="1"/>
  <c r="E104" i="4"/>
  <c r="G164" i="4"/>
  <c r="H164" i="4"/>
  <c r="F497" i="5"/>
  <c r="F517" i="5" s="1"/>
  <c r="F605" i="5"/>
  <c r="I83" i="4"/>
  <c r="I82" i="4" s="1"/>
  <c r="H83" i="4"/>
  <c r="H82" i="4" s="1"/>
  <c r="G83" i="4"/>
  <c r="G82" i="4" s="1"/>
  <c r="I246" i="4"/>
  <c r="I245" i="4" s="1"/>
  <c r="G246" i="4"/>
  <c r="G245" i="4" s="1"/>
  <c r="G241" i="4" s="1"/>
  <c r="G67" i="4"/>
  <c r="G66" i="4" s="1"/>
  <c r="G126" i="4"/>
  <c r="E170" i="4"/>
  <c r="G173" i="4"/>
  <c r="G172" i="4" s="1"/>
  <c r="H104" i="4"/>
  <c r="I173" i="4"/>
  <c r="I172" i="4" s="1"/>
  <c r="G169" i="4"/>
  <c r="G104" i="4"/>
  <c r="I110" i="4"/>
  <c r="I97" i="4"/>
  <c r="H29" i="5"/>
  <c r="H173" i="4"/>
  <c r="H172" i="4" s="1"/>
  <c r="G183" i="4"/>
  <c r="G180" i="4" s="1"/>
  <c r="I75" i="4"/>
  <c r="G156" i="4"/>
  <c r="I67" i="4"/>
  <c r="I66" i="4" s="1"/>
  <c r="H67" i="4"/>
  <c r="H66" i="4" s="1"/>
  <c r="H126" i="4"/>
  <c r="I104" i="4"/>
  <c r="H75" i="4"/>
  <c r="I156" i="4"/>
  <c r="E246" i="4"/>
  <c r="E245" i="4" s="1"/>
  <c r="E110" i="4"/>
  <c r="I183" i="4"/>
  <c r="I180" i="4" s="1"/>
  <c r="G97" i="4"/>
  <c r="G110" i="4"/>
  <c r="G75" i="4"/>
  <c r="I388" i="5"/>
  <c r="I387" i="5" s="1"/>
  <c r="E75" i="4"/>
  <c r="E126" i="4"/>
  <c r="H110" i="4"/>
  <c r="H97" i="4"/>
  <c r="H156" i="4"/>
  <c r="I126" i="4"/>
  <c r="I203" i="4"/>
  <c r="I202" i="4" s="1"/>
  <c r="F456" i="5"/>
  <c r="I170" i="4"/>
  <c r="I169" i="4"/>
  <c r="I248" i="5"/>
  <c r="I247" i="5" s="1"/>
  <c r="H203" i="4"/>
  <c r="H202" i="4" s="1"/>
  <c r="H170" i="4"/>
  <c r="H169" i="4"/>
  <c r="E173" i="4"/>
  <c r="E172" i="4" s="1"/>
  <c r="J426" i="5"/>
  <c r="J425" i="5" s="1"/>
  <c r="J419" i="5" s="1"/>
  <c r="J44" i="5"/>
  <c r="J143" i="5"/>
  <c r="H366" i="5"/>
  <c r="J284" i="5"/>
  <c r="I271" i="5"/>
  <c r="G619" i="6"/>
  <c r="I284" i="5"/>
  <c r="I44" i="5"/>
  <c r="H284" i="5"/>
  <c r="F619" i="6"/>
  <c r="F143" i="5"/>
  <c r="I143" i="5"/>
  <c r="H426" i="5"/>
  <c r="H425" i="5" s="1"/>
  <c r="H419" i="5" s="1"/>
  <c r="H271" i="5"/>
  <c r="J366" i="5"/>
  <c r="I426" i="5"/>
  <c r="I425" i="5" s="1"/>
  <c r="I419" i="5" s="1"/>
  <c r="I366" i="5"/>
  <c r="F44" i="5"/>
  <c r="J271" i="5"/>
  <c r="H247" i="5"/>
  <c r="F426" i="5"/>
  <c r="F425" i="5" s="1"/>
  <c r="F419" i="5" s="1"/>
  <c r="F29" i="5"/>
  <c r="I29" i="5"/>
  <c r="H143" i="5"/>
  <c r="J29" i="5"/>
  <c r="J247" i="5"/>
  <c r="H619" i="6"/>
  <c r="I605" i="5"/>
  <c r="I606" i="5" s="1"/>
  <c r="E481" i="5"/>
  <c r="E489" i="5"/>
  <c r="C643" i="6"/>
  <c r="C642" i="6" s="1"/>
  <c r="C640" i="6"/>
  <c r="C638" i="6"/>
  <c r="C621" i="6"/>
  <c r="C610" i="6"/>
  <c r="C609" i="6" s="1"/>
  <c r="D636" i="6"/>
  <c r="D643" i="6"/>
  <c r="D642" i="6" s="1"/>
  <c r="C636" i="6"/>
  <c r="D630" i="6"/>
  <c r="C630" i="6"/>
  <c r="D621" i="6"/>
  <c r="E53" i="5"/>
  <c r="E65" i="5"/>
  <c r="E64" i="5"/>
  <c r="E46" i="5"/>
  <c r="E21" i="5"/>
  <c r="E188" i="5"/>
  <c r="E187" i="5"/>
  <c r="D292" i="6"/>
  <c r="F292" i="6"/>
  <c r="F291" i="6" s="1"/>
  <c r="G292" i="6"/>
  <c r="G291" i="6" s="1"/>
  <c r="H292" i="6"/>
  <c r="H291" i="6" s="1"/>
  <c r="C292" i="6"/>
  <c r="E361" i="5"/>
  <c r="E360" i="5"/>
  <c r="D121" i="6"/>
  <c r="D120" i="6" s="1"/>
  <c r="F121" i="6"/>
  <c r="F120" i="6" s="1"/>
  <c r="G121" i="6"/>
  <c r="G120" i="6" s="1"/>
  <c r="H121" i="6"/>
  <c r="H120" i="6" s="1"/>
  <c r="C121" i="6"/>
  <c r="C120" i="6" s="1"/>
  <c r="H97" i="1" l="1"/>
  <c r="H16" i="1"/>
  <c r="E7" i="9"/>
  <c r="H9" i="5"/>
  <c r="I16" i="1"/>
  <c r="J16" i="1"/>
  <c r="I122" i="1"/>
  <c r="J122" i="1"/>
  <c r="H122" i="1"/>
  <c r="H582" i="5"/>
  <c r="H583" i="5" s="1"/>
  <c r="D291" i="6"/>
  <c r="F525" i="5"/>
  <c r="F524" i="5" s="1"/>
  <c r="F523" i="5" s="1"/>
  <c r="C291" i="6"/>
  <c r="E525" i="5"/>
  <c r="E524" i="5" s="1"/>
  <c r="E523" i="5" s="1"/>
  <c r="H22" i="5"/>
  <c r="H11" i="5" s="1"/>
  <c r="H107" i="5" s="1"/>
  <c r="F22" i="5"/>
  <c r="F11" i="5" s="1"/>
  <c r="F107" i="5" s="1"/>
  <c r="D175" i="4"/>
  <c r="J496" i="5"/>
  <c r="J553" i="5" s="1"/>
  <c r="H496" i="5"/>
  <c r="F455" i="5"/>
  <c r="F496" i="5" s="1"/>
  <c r="I496" i="5"/>
  <c r="I553" i="5" s="1"/>
  <c r="I22" i="5"/>
  <c r="I11" i="5" s="1"/>
  <c r="J22" i="5"/>
  <c r="J11" i="5" s="1"/>
  <c r="E241" i="4"/>
  <c r="E234" i="4" s="1"/>
  <c r="G234" i="4"/>
  <c r="I241" i="4"/>
  <c r="I234" i="4" s="1"/>
  <c r="J73" i="5"/>
  <c r="J9" i="5" s="1"/>
  <c r="H241" i="4"/>
  <c r="H234" i="4" s="1"/>
  <c r="I73" i="5"/>
  <c r="I9" i="5" s="1"/>
  <c r="F9" i="5"/>
  <c r="D174" i="4"/>
  <c r="G96" i="4"/>
  <c r="I96" i="4"/>
  <c r="H96" i="4"/>
  <c r="C635" i="6"/>
  <c r="E474" i="5"/>
  <c r="E45" i="5"/>
  <c r="E63" i="5"/>
  <c r="E62" i="5" s="1"/>
  <c r="E186" i="5"/>
  <c r="E185" i="5" s="1"/>
  <c r="E359" i="5"/>
  <c r="E358" i="5" s="1"/>
  <c r="H108" i="5" l="1"/>
  <c r="I107" i="5"/>
  <c r="I108" i="5" s="1"/>
  <c r="J107" i="5"/>
  <c r="J108" i="5" s="1"/>
  <c r="D173" i="4"/>
  <c r="D172" i="4" s="1"/>
  <c r="F25" i="2" l="1"/>
  <c r="F24" i="2" s="1"/>
  <c r="H25" i="2"/>
  <c r="H24" i="2" s="1"/>
  <c r="I25" i="2"/>
  <c r="I24" i="2" s="1"/>
  <c r="J25" i="2"/>
  <c r="J24" i="2" s="1"/>
  <c r="E25" i="2"/>
  <c r="E24" i="2" s="1"/>
  <c r="E79" i="1"/>
  <c r="F12" i="2"/>
  <c r="H12" i="2"/>
  <c r="I12" i="2"/>
  <c r="J12" i="2"/>
  <c r="F16" i="2"/>
  <c r="F15" i="2" s="1"/>
  <c r="F14" i="2" s="1"/>
  <c r="H16" i="2"/>
  <c r="H15" i="2" s="1"/>
  <c r="H14" i="2" s="1"/>
  <c r="I16" i="2"/>
  <c r="I15" i="2" s="1"/>
  <c r="I14" i="2" s="1"/>
  <c r="J16" i="2"/>
  <c r="J15" i="2" s="1"/>
  <c r="J14" i="2" s="1"/>
  <c r="E15" i="2"/>
  <c r="E14" i="2" s="1"/>
  <c r="E70" i="1"/>
  <c r="F58" i="2"/>
  <c r="I58" i="2"/>
  <c r="J58" i="2"/>
  <c r="E58" i="2"/>
  <c r="F39" i="2"/>
  <c r="F38" i="2" s="1"/>
  <c r="H39" i="2"/>
  <c r="H38" i="2" s="1"/>
  <c r="I39" i="2"/>
  <c r="I38" i="2" s="1"/>
  <c r="J39" i="2"/>
  <c r="J38" i="2" s="1"/>
  <c r="E39" i="2"/>
  <c r="E38" i="2" s="1"/>
  <c r="E21" i="1"/>
  <c r="E72" i="5"/>
  <c r="E71" i="5" s="1"/>
  <c r="E70" i="5"/>
  <c r="E69" i="5" s="1"/>
  <c r="E68" i="5"/>
  <c r="E67" i="5" s="1"/>
  <c r="E61" i="5"/>
  <c r="E60" i="5"/>
  <c r="E55" i="5"/>
  <c r="E54" i="5" s="1"/>
  <c r="E52" i="5"/>
  <c r="E38" i="5"/>
  <c r="E37" i="5"/>
  <c r="E34" i="5"/>
  <c r="E33" i="5" s="1"/>
  <c r="E32" i="5"/>
  <c r="E31" i="5"/>
  <c r="E495" i="5"/>
  <c r="E494" i="5" s="1"/>
  <c r="E492" i="5" s="1"/>
  <c r="D739" i="6"/>
  <c r="D736" i="6" s="1"/>
  <c r="D735" i="6" s="1"/>
  <c r="D734" i="6" s="1"/>
  <c r="F739" i="6"/>
  <c r="F736" i="6" s="1"/>
  <c r="F735" i="6" s="1"/>
  <c r="F734" i="6" s="1"/>
  <c r="G739" i="6"/>
  <c r="G736" i="6" s="1"/>
  <c r="G735" i="6" s="1"/>
  <c r="G734" i="6" s="1"/>
  <c r="H739" i="6"/>
  <c r="H736" i="6" s="1"/>
  <c r="H735" i="6" s="1"/>
  <c r="H734" i="6" s="1"/>
  <c r="D730" i="6"/>
  <c r="D729" i="6" s="1"/>
  <c r="F730" i="6"/>
  <c r="F729" i="6" s="1"/>
  <c r="G730" i="6"/>
  <c r="G729" i="6" s="1"/>
  <c r="H730" i="6"/>
  <c r="H729" i="6" s="1"/>
  <c r="C739" i="6"/>
  <c r="C736" i="6" s="1"/>
  <c r="C735" i="6" s="1"/>
  <c r="C734" i="6" s="1"/>
  <c r="C732" i="6"/>
  <c r="C731" i="6" l="1"/>
  <c r="C730" i="6" s="1"/>
  <c r="C729" i="6" s="1"/>
  <c r="C728" i="6" s="1"/>
  <c r="C727" i="6" s="1"/>
  <c r="E535" i="5"/>
  <c r="E36" i="5"/>
  <c r="E59" i="5"/>
  <c r="E66" i="5"/>
  <c r="E30" i="5"/>
  <c r="H728" i="6"/>
  <c r="H727" i="6" s="1"/>
  <c r="G728" i="6"/>
  <c r="G727" i="6" s="1"/>
  <c r="F728" i="6"/>
  <c r="F727" i="6" s="1"/>
  <c r="D728" i="6"/>
  <c r="D727" i="6" s="1"/>
  <c r="E29" i="5" l="1"/>
  <c r="D465" i="6"/>
  <c r="F465" i="6"/>
  <c r="F463" i="6" s="1"/>
  <c r="G465" i="6"/>
  <c r="G463" i="6" s="1"/>
  <c r="H465" i="6"/>
  <c r="H463" i="6" s="1"/>
  <c r="C465" i="6"/>
  <c r="C463" i="6" s="1"/>
  <c r="E595" i="5"/>
  <c r="E594" i="5" s="1"/>
  <c r="D414" i="6"/>
  <c r="F414" i="6"/>
  <c r="G414" i="6"/>
  <c r="H414" i="6"/>
  <c r="D422" i="6"/>
  <c r="D421" i="6" s="1"/>
  <c r="F422" i="6"/>
  <c r="F421" i="6" s="1"/>
  <c r="G422" i="6"/>
  <c r="G421" i="6" s="1"/>
  <c r="H422" i="6"/>
  <c r="H421" i="6" s="1"/>
  <c r="C422" i="6"/>
  <c r="E488" i="5"/>
  <c r="E487" i="5" s="1"/>
  <c r="D371" i="6"/>
  <c r="F371" i="6"/>
  <c r="G371" i="6"/>
  <c r="H371" i="6"/>
  <c r="D368" i="6"/>
  <c r="D367" i="6" s="1"/>
  <c r="F368" i="6"/>
  <c r="F367" i="6" s="1"/>
  <c r="G368" i="6"/>
  <c r="G367" i="6" s="1"/>
  <c r="H368" i="6"/>
  <c r="H367" i="6" s="1"/>
  <c r="C371" i="6"/>
  <c r="C370" i="6" s="1"/>
  <c r="C368" i="6"/>
  <c r="C367" i="6" s="1"/>
  <c r="D160" i="6"/>
  <c r="F160" i="6"/>
  <c r="G160" i="6"/>
  <c r="H160" i="6"/>
  <c r="E398" i="5"/>
  <c r="C160" i="6"/>
  <c r="E346" i="5"/>
  <c r="D159" i="4" s="1"/>
  <c r="C105" i="6"/>
  <c r="E317" i="5"/>
  <c r="D129" i="4" s="1"/>
  <c r="C76" i="6"/>
  <c r="E269" i="5"/>
  <c r="E268" i="5" s="1"/>
  <c r="D30" i="6"/>
  <c r="F30" i="6"/>
  <c r="G30" i="6"/>
  <c r="H30" i="6"/>
  <c r="C30" i="6"/>
  <c r="D284" i="4"/>
  <c r="D282" i="4" s="1"/>
  <c r="D281" i="4" s="1"/>
  <c r="D280" i="4" s="1"/>
  <c r="D216" i="4"/>
  <c r="D215" i="4" s="1"/>
  <c r="D225" i="4"/>
  <c r="D232" i="4"/>
  <c r="D236" i="4"/>
  <c r="D238" i="4"/>
  <c r="D242" i="4"/>
  <c r="D265" i="4"/>
  <c r="D272" i="4"/>
  <c r="E83" i="2"/>
  <c r="H83" i="2"/>
  <c r="I83" i="2"/>
  <c r="J83" i="2"/>
  <c r="E11" i="1"/>
  <c r="E19" i="1"/>
  <c r="E18" i="1" s="1"/>
  <c r="E17" i="1" s="1"/>
  <c r="E28" i="1"/>
  <c r="E38" i="1"/>
  <c r="E37" i="1" s="1"/>
  <c r="E45" i="1"/>
  <c r="E51" i="1"/>
  <c r="E50" i="1" s="1"/>
  <c r="E56" i="1"/>
  <c r="E60" i="1"/>
  <c r="E59" i="1" s="1"/>
  <c r="E64" i="1"/>
  <c r="E63" i="1" s="1"/>
  <c r="E62" i="1" s="1"/>
  <c r="E69" i="1"/>
  <c r="E74" i="1"/>
  <c r="E73" i="1" s="1"/>
  <c r="E77" i="1"/>
  <c r="E76" i="1" s="1"/>
  <c r="E92" i="1"/>
  <c r="E81" i="1"/>
  <c r="E99" i="1"/>
  <c r="E98" i="1" s="1"/>
  <c r="E105" i="1" s="1"/>
  <c r="B22" i="9" s="1"/>
  <c r="B21" i="9" s="1"/>
  <c r="C22" i="9"/>
  <c r="C21" i="9" s="1"/>
  <c r="E109" i="1"/>
  <c r="E108" i="1" s="1"/>
  <c r="E107" i="1" s="1"/>
  <c r="E111" i="1" s="1"/>
  <c r="C23" i="9"/>
  <c r="E114" i="1"/>
  <c r="E113" i="1" s="1"/>
  <c r="E118" i="1"/>
  <c r="E117" i="1" s="1"/>
  <c r="H87" i="2"/>
  <c r="H86" i="2" s="1"/>
  <c r="I87" i="2"/>
  <c r="I86" i="2" s="1"/>
  <c r="J87" i="2"/>
  <c r="J86" i="2" s="1"/>
  <c r="E91" i="1" l="1"/>
  <c r="E49" i="1"/>
  <c r="B13" i="9" s="1"/>
  <c r="E68" i="1"/>
  <c r="B11" i="9"/>
  <c r="D214" i="4"/>
  <c r="D213" i="4" s="1"/>
  <c r="H82" i="2"/>
  <c r="H81" i="2" s="1"/>
  <c r="C8" i="9"/>
  <c r="E43" i="1"/>
  <c r="I82" i="2"/>
  <c r="I81" i="2" s="1"/>
  <c r="C6" i="9"/>
  <c r="J82" i="2"/>
  <c r="J81" i="2" s="1"/>
  <c r="E87" i="2"/>
  <c r="E86" i="2" s="1"/>
  <c r="E82" i="2" s="1"/>
  <c r="E81" i="2" s="1"/>
  <c r="G11" i="3" s="1"/>
  <c r="E10" i="1"/>
  <c r="E9" i="1" s="1"/>
  <c r="E15" i="1" s="1"/>
  <c r="H413" i="6"/>
  <c r="H412" i="6" s="1"/>
  <c r="G413" i="6"/>
  <c r="G412" i="6" s="1"/>
  <c r="F413" i="6"/>
  <c r="F412" i="6" s="1"/>
  <c r="D413" i="6"/>
  <c r="D412" i="6" s="1"/>
  <c r="E397" i="5"/>
  <c r="D80" i="4"/>
  <c r="D79" i="4" s="1"/>
  <c r="D235" i="4"/>
  <c r="E112" i="1"/>
  <c r="E120" i="1" s="1"/>
  <c r="B24" i="9" s="1"/>
  <c r="E55" i="1"/>
  <c r="E66" i="1" s="1"/>
  <c r="B10" i="9" l="1"/>
  <c r="B9" i="9"/>
  <c r="B8" i="9" s="1"/>
  <c r="B7" i="9"/>
  <c r="B6" i="9" s="1"/>
  <c r="B23" i="9"/>
  <c r="E8" i="1"/>
  <c r="E84" i="1"/>
  <c r="B16" i="9" s="1"/>
  <c r="B15" i="9" s="1"/>
  <c r="C15" i="9"/>
  <c r="F87" i="2"/>
  <c r="F86" i="2" s="1"/>
  <c r="E12" i="2"/>
  <c r="E20" i="2"/>
  <c r="E19" i="2" s="1"/>
  <c r="E18" i="2" s="1"/>
  <c r="F20" i="2"/>
  <c r="F19" i="2" s="1"/>
  <c r="F18" i="2" s="1"/>
  <c r="E23" i="2"/>
  <c r="E22" i="2" s="1"/>
  <c r="E21" i="2" s="1"/>
  <c r="F23" i="2"/>
  <c r="F22" i="2" s="1"/>
  <c r="F21" i="2" s="1"/>
  <c r="E31" i="2"/>
  <c r="F31" i="2"/>
  <c r="E37" i="2"/>
  <c r="E36" i="2" s="1"/>
  <c r="E35" i="2" s="1"/>
  <c r="E34" i="2" s="1"/>
  <c r="F37" i="2"/>
  <c r="F36" i="2" s="1"/>
  <c r="F35" i="2" s="1"/>
  <c r="F34" i="2" s="1"/>
  <c r="E48" i="2"/>
  <c r="F48" i="2"/>
  <c r="E49" i="2"/>
  <c r="F49" i="2"/>
  <c r="E50" i="2"/>
  <c r="F50" i="2"/>
  <c r="E57" i="2"/>
  <c r="F57" i="2"/>
  <c r="F56" i="2" s="1"/>
  <c r="E63" i="2"/>
  <c r="F63" i="2"/>
  <c r="E69" i="2"/>
  <c r="E68" i="2" s="1"/>
  <c r="F69" i="2"/>
  <c r="F68" i="2" s="1"/>
  <c r="E71" i="2"/>
  <c r="E70" i="2" s="1"/>
  <c r="F71" i="2"/>
  <c r="F70" i="2" s="1"/>
  <c r="E74" i="2"/>
  <c r="E73" i="2" s="1"/>
  <c r="E72" i="2" s="1"/>
  <c r="F74" i="2"/>
  <c r="F73" i="2" s="1"/>
  <c r="F72" i="2" s="1"/>
  <c r="E76" i="2"/>
  <c r="E75" i="2" s="1"/>
  <c r="F76" i="2"/>
  <c r="F75" i="2" s="1"/>
  <c r="F83" i="2"/>
  <c r="E15" i="5"/>
  <c r="E14" i="5" s="1"/>
  <c r="E13" i="5" s="1"/>
  <c r="E20" i="5"/>
  <c r="E19" i="5" s="1"/>
  <c r="E117" i="5"/>
  <c r="E125" i="5"/>
  <c r="E128" i="5"/>
  <c r="E127" i="5" s="1"/>
  <c r="E126" i="5" s="1"/>
  <c r="E137" i="5"/>
  <c r="E136" i="5" s="1"/>
  <c r="E141" i="5"/>
  <c r="E139" i="5" s="1"/>
  <c r="E145" i="5"/>
  <c r="E144" i="5" s="1"/>
  <c r="E147" i="5"/>
  <c r="E150" i="5"/>
  <c r="E152" i="5"/>
  <c r="E157" i="5"/>
  <c r="E165" i="5"/>
  <c r="E166" i="5"/>
  <c r="E173" i="5"/>
  <c r="E172" i="5" s="1"/>
  <c r="E175" i="5"/>
  <c r="E174" i="5" s="1"/>
  <c r="E184" i="5"/>
  <c r="E181" i="5" s="1"/>
  <c r="E196" i="5"/>
  <c r="E195" i="5" s="1"/>
  <c r="E197" i="5"/>
  <c r="E205" i="5"/>
  <c r="E214" i="5"/>
  <c r="E213" i="5" s="1"/>
  <c r="E217" i="5"/>
  <c r="E219" i="5"/>
  <c r="E225" i="5"/>
  <c r="E224" i="5" s="1"/>
  <c r="E228" i="5"/>
  <c r="E231" i="5"/>
  <c r="E234" i="5"/>
  <c r="E238" i="5"/>
  <c r="E240" i="5"/>
  <c r="E242" i="5"/>
  <c r="E250" i="5"/>
  <c r="E251" i="5"/>
  <c r="D62" i="4" s="1"/>
  <c r="E254" i="5"/>
  <c r="E256" i="5"/>
  <c r="E259" i="5"/>
  <c r="D68" i="4" s="1"/>
  <c r="E260" i="5"/>
  <c r="D69" i="4" s="1"/>
  <c r="E261" i="5"/>
  <c r="D70" i="4" s="1"/>
  <c r="E262" i="5"/>
  <c r="D71" i="4" s="1"/>
  <c r="E263" i="5"/>
  <c r="D72" i="4" s="1"/>
  <c r="E267" i="5"/>
  <c r="E273" i="5"/>
  <c r="E274" i="5"/>
  <c r="D85" i="4" s="1"/>
  <c r="E278" i="5"/>
  <c r="E280" i="5"/>
  <c r="D92" i="4" s="1"/>
  <c r="E283" i="5"/>
  <c r="E286" i="5"/>
  <c r="E287" i="5"/>
  <c r="E288" i="5"/>
  <c r="D100" i="4" s="1"/>
  <c r="E289" i="5"/>
  <c r="D101" i="4" s="1"/>
  <c r="E293" i="5"/>
  <c r="E296" i="5"/>
  <c r="E299" i="5"/>
  <c r="D111" i="4" s="1"/>
  <c r="E300" i="5"/>
  <c r="D112" i="4" s="1"/>
  <c r="E301" i="5"/>
  <c r="E304" i="5"/>
  <c r="E305" i="5"/>
  <c r="D117" i="4" s="1"/>
  <c r="E306" i="5"/>
  <c r="D118" i="4" s="1"/>
  <c r="E309" i="5"/>
  <c r="D121" i="4" s="1"/>
  <c r="E312" i="5"/>
  <c r="D124" i="4" s="1"/>
  <c r="D123" i="4" s="1"/>
  <c r="E315" i="5"/>
  <c r="D127" i="4" s="1"/>
  <c r="E319" i="5"/>
  <c r="E320" i="5"/>
  <c r="E324" i="5"/>
  <c r="D137" i="4" s="1"/>
  <c r="D135" i="4" s="1"/>
  <c r="E326" i="5"/>
  <c r="D139" i="4" s="1"/>
  <c r="E327" i="5"/>
  <c r="E328" i="5"/>
  <c r="D141" i="4" s="1"/>
  <c r="E337" i="5"/>
  <c r="E334" i="5" s="1"/>
  <c r="E342" i="5"/>
  <c r="E338" i="5" s="1"/>
  <c r="E344" i="5"/>
  <c r="E345" i="5"/>
  <c r="D158" i="4" s="1"/>
  <c r="E349" i="5"/>
  <c r="E348" i="5" s="1"/>
  <c r="E352" i="5"/>
  <c r="D166" i="4" s="1"/>
  <c r="E353" i="5"/>
  <c r="D167" i="4" s="1"/>
  <c r="E357" i="5"/>
  <c r="D171" i="4" s="1"/>
  <c r="E368" i="5"/>
  <c r="E370" i="5"/>
  <c r="E371" i="5"/>
  <c r="D185" i="4" s="1"/>
  <c r="E374" i="5"/>
  <c r="D188" i="4" s="1"/>
  <c r="E376" i="5"/>
  <c r="D190" i="4" s="1"/>
  <c r="E379" i="5"/>
  <c r="E380" i="5"/>
  <c r="D194" i="4" s="1"/>
  <c r="E383" i="5"/>
  <c r="E385" i="5"/>
  <c r="E386" i="5"/>
  <c r="D201" i="4" s="1"/>
  <c r="E391" i="5"/>
  <c r="D206" i="4" s="1"/>
  <c r="E393" i="5"/>
  <c r="D209" i="4" s="1"/>
  <c r="E394" i="5"/>
  <c r="E395" i="5"/>
  <c r="D211" i="4" s="1"/>
  <c r="E400" i="5"/>
  <c r="E399" i="5" s="1"/>
  <c r="E406" i="5"/>
  <c r="E407" i="5"/>
  <c r="D223" i="4" s="1"/>
  <c r="E409" i="5"/>
  <c r="E415" i="5"/>
  <c r="D231" i="4" s="1"/>
  <c r="E417" i="5"/>
  <c r="E421" i="5"/>
  <c r="E423" i="5"/>
  <c r="E420" i="5" s="1"/>
  <c r="E428" i="5"/>
  <c r="E429" i="5"/>
  <c r="E430" i="5"/>
  <c r="D249" i="4" s="1"/>
  <c r="E433" i="5"/>
  <c r="E434" i="5"/>
  <c r="E436" i="5"/>
  <c r="E437" i="5"/>
  <c r="D257" i="4" s="1"/>
  <c r="E439" i="5"/>
  <c r="E438" i="5" s="1"/>
  <c r="E441" i="5"/>
  <c r="D261" i="4" s="1"/>
  <c r="D260" i="4" s="1"/>
  <c r="E444" i="5"/>
  <c r="D264" i="4" s="1"/>
  <c r="E445" i="5"/>
  <c r="E450" i="5"/>
  <c r="E449" i="5" s="1"/>
  <c r="E448" i="5" s="1"/>
  <c r="E451" i="5"/>
  <c r="E458" i="5"/>
  <c r="E461" i="5"/>
  <c r="E460" i="5" s="1"/>
  <c r="E465" i="5"/>
  <c r="E469" i="5"/>
  <c r="E478" i="5"/>
  <c r="E473" i="5" s="1"/>
  <c r="E483" i="5"/>
  <c r="E485" i="5"/>
  <c r="E491" i="5"/>
  <c r="E490" i="5" s="1"/>
  <c r="E499" i="5"/>
  <c r="E503" i="5"/>
  <c r="E508" i="5"/>
  <c r="E558" i="5"/>
  <c r="E559" i="5"/>
  <c r="E563" i="5"/>
  <c r="E562" i="5" s="1"/>
  <c r="E561" i="5" s="1"/>
  <c r="E573" i="5"/>
  <c r="E572" i="5" s="1"/>
  <c r="E581" i="5"/>
  <c r="E580" i="5" s="1"/>
  <c r="E579" i="5" s="1"/>
  <c r="E578" i="5" s="1"/>
  <c r="E586" i="5"/>
  <c r="E593" i="5"/>
  <c r="E598" i="5"/>
  <c r="E602" i="5"/>
  <c r="E601" i="5" s="1"/>
  <c r="E600" i="5" s="1"/>
  <c r="E603" i="5"/>
  <c r="E480" i="5" l="1"/>
  <c r="F61" i="2"/>
  <c r="F60" i="2" s="1"/>
  <c r="E61" i="2"/>
  <c r="E60" i="2" s="1"/>
  <c r="E56" i="2"/>
  <c r="E52" i="2" s="1"/>
  <c r="E27" i="2"/>
  <c r="E26" i="2" s="1"/>
  <c r="E11" i="2" s="1"/>
  <c r="F27" i="2"/>
  <c r="F26" i="2" s="1"/>
  <c r="F11" i="2" s="1"/>
  <c r="E122" i="1"/>
  <c r="B5" i="9"/>
  <c r="D84" i="4"/>
  <c r="E193" i="5"/>
  <c r="E119" i="5"/>
  <c r="E118" i="5" s="1"/>
  <c r="D204" i="4"/>
  <c r="E389" i="5"/>
  <c r="D120" i="4"/>
  <c r="E308" i="5"/>
  <c r="D98" i="4"/>
  <c r="C5" i="9"/>
  <c r="E277" i="5"/>
  <c r="D89" i="4"/>
  <c r="D88" i="4" s="1"/>
  <c r="E464" i="5"/>
  <c r="D105" i="4"/>
  <c r="D155" i="4"/>
  <c r="D151" i="4" s="1"/>
  <c r="D113" i="4"/>
  <c r="F52" i="2"/>
  <c r="F82" i="2"/>
  <c r="F81" i="2" s="1"/>
  <c r="D116" i="4"/>
  <c r="D184" i="4"/>
  <c r="E502" i="5"/>
  <c r="E440" i="5"/>
  <c r="E435" i="5"/>
  <c r="E427" i="5"/>
  <c r="E323" i="5"/>
  <c r="E116" i="5"/>
  <c r="E447" i="5"/>
  <c r="E584" i="5"/>
  <c r="E230" i="5"/>
  <c r="E227" i="5" s="1"/>
  <c r="E223" i="5" s="1"/>
  <c r="E597" i="5"/>
  <c r="E596" i="5" s="1"/>
  <c r="E557" i="5"/>
  <c r="E556" i="5" s="1"/>
  <c r="E498" i="5"/>
  <c r="E216" i="5"/>
  <c r="E443" i="5"/>
  <c r="E442" i="5" s="1"/>
  <c r="D263" i="4"/>
  <c r="D262" i="4" s="1"/>
  <c r="D157" i="4"/>
  <c r="D99" i="4"/>
  <c r="D78" i="4"/>
  <c r="D77" i="4" s="1"/>
  <c r="D75" i="4" s="1"/>
  <c r="E405" i="5"/>
  <c r="E404" i="5" s="1"/>
  <c r="E403" i="5" s="1"/>
  <c r="D222" i="4"/>
  <c r="D221" i="4" s="1"/>
  <c r="D220" i="4" s="1"/>
  <c r="D219" i="4" s="1"/>
  <c r="D210" i="4"/>
  <c r="E382" i="5"/>
  <c r="D198" i="4"/>
  <c r="D197" i="4" s="1"/>
  <c r="E375" i="5"/>
  <c r="D189" i="4"/>
  <c r="D169" i="4"/>
  <c r="D170" i="4"/>
  <c r="D150" i="4"/>
  <c r="D147" i="4" s="1"/>
  <c r="E282" i="5"/>
  <c r="D95" i="4"/>
  <c r="D94" i="4" s="1"/>
  <c r="E12" i="5"/>
  <c r="E571" i="5"/>
  <c r="E432" i="5"/>
  <c r="D254" i="4"/>
  <c r="E414" i="5"/>
  <c r="E411" i="5" s="1"/>
  <c r="E408" i="5" s="1"/>
  <c r="D230" i="4"/>
  <c r="D227" i="4" s="1"/>
  <c r="D224" i="4" s="1"/>
  <c r="E384" i="5"/>
  <c r="D200" i="4"/>
  <c r="D199" i="4" s="1"/>
  <c r="D193" i="4"/>
  <c r="E373" i="5"/>
  <c r="D187" i="4"/>
  <c r="E367" i="5"/>
  <c r="D182" i="4"/>
  <c r="D181" i="4" s="1"/>
  <c r="E356" i="5"/>
  <c r="E355" i="5" s="1"/>
  <c r="D140" i="4"/>
  <c r="E311" i="5"/>
  <c r="E255" i="5"/>
  <c r="E266" i="5"/>
  <c r="E265" i="5" s="1"/>
  <c r="E253" i="5"/>
  <c r="D65" i="4"/>
  <c r="D64" i="4" s="1"/>
  <c r="E249" i="5"/>
  <c r="E67" i="2"/>
  <c r="E66" i="2" s="1"/>
  <c r="F47" i="2"/>
  <c r="F46" i="2" s="1"/>
  <c r="F45" i="2" s="1"/>
  <c r="F67" i="2"/>
  <c r="F66" i="2" s="1"/>
  <c r="E47" i="2"/>
  <c r="E46" i="2" s="1"/>
  <c r="E45" i="2" s="1"/>
  <c r="E130" i="5"/>
  <c r="C11" i="6"/>
  <c r="C15" i="6"/>
  <c r="D15" i="6"/>
  <c r="C17" i="6"/>
  <c r="D17" i="6"/>
  <c r="C28" i="6"/>
  <c r="C27" i="6" s="1"/>
  <c r="D28" i="6"/>
  <c r="D27" i="6" s="1"/>
  <c r="F275" i="5"/>
  <c r="C39" i="6"/>
  <c r="D39" i="6"/>
  <c r="C44" i="6"/>
  <c r="D44" i="6"/>
  <c r="F291" i="5"/>
  <c r="E307" i="5"/>
  <c r="D119" i="4" s="1"/>
  <c r="C73" i="6"/>
  <c r="D73" i="6"/>
  <c r="E316" i="5"/>
  <c r="D128" i="4" s="1"/>
  <c r="F321" i="5"/>
  <c r="F318" i="5" s="1"/>
  <c r="C85" i="6"/>
  <c r="D85" i="6"/>
  <c r="F333" i="5"/>
  <c r="F347" i="5"/>
  <c r="E160" i="4" s="1"/>
  <c r="C110" i="6"/>
  <c r="D110" i="6"/>
  <c r="E354" i="5"/>
  <c r="D168" i="4" s="1"/>
  <c r="C118" i="6"/>
  <c r="C117" i="6" s="1"/>
  <c r="D118" i="6"/>
  <c r="D117" i="6" s="1"/>
  <c r="C129" i="6"/>
  <c r="D129" i="6"/>
  <c r="C135" i="6"/>
  <c r="D135" i="6"/>
  <c r="C137" i="6"/>
  <c r="D137" i="6"/>
  <c r="C144" i="6"/>
  <c r="D144" i="6"/>
  <c r="C146" i="6"/>
  <c r="D146" i="6"/>
  <c r="F396" i="5"/>
  <c r="C163" i="6"/>
  <c r="C162" i="6" s="1"/>
  <c r="D163" i="6"/>
  <c r="D162" i="6" s="1"/>
  <c r="C167" i="6"/>
  <c r="C166" i="6" s="1"/>
  <c r="C165" i="6" s="1"/>
  <c r="D167" i="6"/>
  <c r="D166" i="6" s="1"/>
  <c r="D165" i="6" s="1"/>
  <c r="C171" i="6"/>
  <c r="D171" i="6"/>
  <c r="C176" i="6"/>
  <c r="C173" i="6" s="1"/>
  <c r="D176" i="6"/>
  <c r="D173" i="6" s="1"/>
  <c r="C179" i="6"/>
  <c r="D179" i="6"/>
  <c r="C184" i="6"/>
  <c r="C183" i="6" s="1"/>
  <c r="D184" i="6"/>
  <c r="D183" i="6" s="1"/>
  <c r="C186" i="6"/>
  <c r="D186" i="6"/>
  <c r="C190" i="6"/>
  <c r="D190" i="6"/>
  <c r="C195" i="6"/>
  <c r="D195" i="6"/>
  <c r="C198" i="6"/>
  <c r="D198" i="6"/>
  <c r="C201" i="6"/>
  <c r="D201" i="6"/>
  <c r="C203" i="6"/>
  <c r="D203" i="6"/>
  <c r="C205" i="6"/>
  <c r="D205" i="6"/>
  <c r="C206" i="6"/>
  <c r="D206" i="6"/>
  <c r="C208" i="6"/>
  <c r="D208" i="6"/>
  <c r="C212" i="6"/>
  <c r="C211" i="6" s="1"/>
  <c r="D212" i="6"/>
  <c r="D211" i="6" s="1"/>
  <c r="C214" i="6"/>
  <c r="D214" i="6"/>
  <c r="E113" i="5"/>
  <c r="E112" i="5" s="1"/>
  <c r="F113" i="5"/>
  <c r="C224" i="6"/>
  <c r="D224" i="6"/>
  <c r="C226" i="6"/>
  <c r="D226" i="6"/>
  <c r="C235" i="6"/>
  <c r="C234" i="6" s="1"/>
  <c r="D235" i="6"/>
  <c r="D234" i="6" s="1"/>
  <c r="C252" i="6"/>
  <c r="D252" i="6"/>
  <c r="E148" i="5"/>
  <c r="D108" i="4" s="1"/>
  <c r="E151" i="5"/>
  <c r="E149" i="5" s="1"/>
  <c r="F167" i="5"/>
  <c r="F164" i="5" s="1"/>
  <c r="F159" i="5" s="1"/>
  <c r="F129" i="5" s="1"/>
  <c r="C278" i="6"/>
  <c r="D278" i="6"/>
  <c r="C300" i="6"/>
  <c r="C299" i="6" s="1"/>
  <c r="E531" i="5" s="1"/>
  <c r="E530" i="5" s="1"/>
  <c r="E529" i="5" s="1"/>
  <c r="E519" i="5" s="1"/>
  <c r="D300" i="6"/>
  <c r="D299" i="6" s="1"/>
  <c r="F531" i="5" s="1"/>
  <c r="F530" i="5" s="1"/>
  <c r="F529" i="5" s="1"/>
  <c r="F519" i="5" s="1"/>
  <c r="C311" i="6"/>
  <c r="E550" i="5" s="1"/>
  <c r="E549" i="5" s="1"/>
  <c r="E548" i="5" s="1"/>
  <c r="E547" i="5" s="1"/>
  <c r="D311" i="6"/>
  <c r="F550" i="5" s="1"/>
  <c r="F549" i="5" s="1"/>
  <c r="F548" i="5" s="1"/>
  <c r="F547" i="5" s="1"/>
  <c r="C320" i="6"/>
  <c r="C319" i="6" s="1"/>
  <c r="D320" i="6"/>
  <c r="D319" i="6" s="1"/>
  <c r="C323" i="6"/>
  <c r="D323" i="6"/>
  <c r="C325" i="6"/>
  <c r="D325" i="6"/>
  <c r="C329" i="6"/>
  <c r="D329" i="6"/>
  <c r="C333" i="6"/>
  <c r="C332" i="6" s="1"/>
  <c r="D333" i="6"/>
  <c r="D332" i="6" s="1"/>
  <c r="C336" i="6"/>
  <c r="D336" i="6"/>
  <c r="C338" i="6"/>
  <c r="D338" i="6"/>
  <c r="C345" i="6"/>
  <c r="D345" i="6"/>
  <c r="C347" i="6"/>
  <c r="D347" i="6"/>
  <c r="C353" i="6"/>
  <c r="C352" i="6" s="1"/>
  <c r="D353" i="6"/>
  <c r="D352" i="6" s="1"/>
  <c r="C357" i="6"/>
  <c r="D357" i="6"/>
  <c r="C360" i="6"/>
  <c r="C359" i="6" s="1"/>
  <c r="D360" i="6"/>
  <c r="D359" i="6" s="1"/>
  <c r="C363" i="6"/>
  <c r="C362" i="6" s="1"/>
  <c r="D363" i="6"/>
  <c r="D362" i="6" s="1"/>
  <c r="C374" i="6"/>
  <c r="C373" i="6" s="1"/>
  <c r="D374" i="6"/>
  <c r="D373" i="6" s="1"/>
  <c r="C378" i="6"/>
  <c r="C377" i="6" s="1"/>
  <c r="D378" i="6"/>
  <c r="D377" i="6" s="1"/>
  <c r="C382" i="6"/>
  <c r="D382" i="6"/>
  <c r="C396" i="6"/>
  <c r="C395" i="6" s="1"/>
  <c r="D396" i="6"/>
  <c r="D395" i="6" s="1"/>
  <c r="C400" i="6"/>
  <c r="D400" i="6"/>
  <c r="C407" i="6"/>
  <c r="C406" i="6" s="1"/>
  <c r="C405" i="6" s="1"/>
  <c r="D407" i="6"/>
  <c r="D406" i="6" s="1"/>
  <c r="D405" i="6" s="1"/>
  <c r="C414" i="6"/>
  <c r="C421" i="6"/>
  <c r="C426" i="6"/>
  <c r="D426" i="6"/>
  <c r="C431" i="6"/>
  <c r="C428" i="6" s="1"/>
  <c r="D431" i="6"/>
  <c r="D428" i="6" s="1"/>
  <c r="C450" i="6"/>
  <c r="D450" i="6"/>
  <c r="C453" i="6"/>
  <c r="D453" i="6"/>
  <c r="C455" i="6"/>
  <c r="D455" i="6"/>
  <c r="C459" i="6"/>
  <c r="D459" i="6"/>
  <c r="D463" i="6"/>
  <c r="C517" i="6"/>
  <c r="C516" i="6" s="1"/>
  <c r="D517" i="6"/>
  <c r="D516" i="6" s="1"/>
  <c r="C519" i="6"/>
  <c r="D519" i="6"/>
  <c r="C522" i="6"/>
  <c r="C521" i="6" s="1"/>
  <c r="D522" i="6"/>
  <c r="D521" i="6" s="1"/>
  <c r="C525" i="6"/>
  <c r="D525" i="6"/>
  <c r="C527" i="6"/>
  <c r="D527" i="6"/>
  <c r="C529" i="6"/>
  <c r="D529" i="6"/>
  <c r="C573" i="6"/>
  <c r="C572" i="6" s="1"/>
  <c r="D573" i="6"/>
  <c r="D572" i="6" s="1"/>
  <c r="C576" i="6"/>
  <c r="C575" i="6" s="1"/>
  <c r="D576" i="6"/>
  <c r="D575" i="6" s="1"/>
  <c r="C582" i="6"/>
  <c r="C581" i="6" s="1"/>
  <c r="D582" i="6"/>
  <c r="D581" i="6" s="1"/>
  <c r="C586" i="6"/>
  <c r="D586" i="6"/>
  <c r="C590" i="6"/>
  <c r="D590" i="6"/>
  <c r="C592" i="6"/>
  <c r="D592" i="6"/>
  <c r="C594" i="6"/>
  <c r="D594" i="6"/>
  <c r="C597" i="6"/>
  <c r="D597" i="6"/>
  <c r="C599" i="6"/>
  <c r="D599" i="6"/>
  <c r="D610" i="6"/>
  <c r="D609" i="6" s="1"/>
  <c r="C613" i="6"/>
  <c r="C612" i="6" s="1"/>
  <c r="C608" i="6" s="1"/>
  <c r="D613" i="6"/>
  <c r="D612" i="6" s="1"/>
  <c r="C617" i="6"/>
  <c r="C616" i="6" s="1"/>
  <c r="D617" i="6"/>
  <c r="D616" i="6" s="1"/>
  <c r="C625" i="6"/>
  <c r="D625" i="6"/>
  <c r="C627" i="6"/>
  <c r="E457" i="5" s="1"/>
  <c r="D627" i="6"/>
  <c r="C633" i="6"/>
  <c r="C629" i="6" s="1"/>
  <c r="D633" i="6"/>
  <c r="D629" i="6" s="1"/>
  <c r="D638" i="6"/>
  <c r="D640" i="6"/>
  <c r="C688" i="6"/>
  <c r="D688" i="6"/>
  <c r="C691" i="6"/>
  <c r="E536" i="5" s="1"/>
  <c r="E534" i="5" s="1"/>
  <c r="D691" i="6"/>
  <c r="F536" i="5" s="1"/>
  <c r="F534" i="5" s="1"/>
  <c r="C694" i="6"/>
  <c r="E539" i="5" s="1"/>
  <c r="E538" i="5" s="1"/>
  <c r="D694" i="6"/>
  <c r="F539" i="5" s="1"/>
  <c r="F538" i="5" s="1"/>
  <c r="C699" i="6"/>
  <c r="C696" i="6" s="1"/>
  <c r="E541" i="5" s="1"/>
  <c r="E540" i="5" s="1"/>
  <c r="D699" i="6"/>
  <c r="D696" i="6" s="1"/>
  <c r="F541" i="5" s="1"/>
  <c r="E567" i="5"/>
  <c r="E566" i="5" s="1"/>
  <c r="E565" i="5" s="1"/>
  <c r="F567" i="5"/>
  <c r="C709" i="6"/>
  <c r="C708" i="6" s="1"/>
  <c r="D709" i="6"/>
  <c r="D708" i="6" s="1"/>
  <c r="C714" i="6"/>
  <c r="D714" i="6"/>
  <c r="C717" i="6"/>
  <c r="D717" i="6"/>
  <c r="C719" i="6"/>
  <c r="D719" i="6"/>
  <c r="C721" i="6"/>
  <c r="D721" i="6"/>
  <c r="C725" i="6"/>
  <c r="C724" i="6" s="1"/>
  <c r="C723" i="6" s="1"/>
  <c r="D725" i="6"/>
  <c r="D724" i="6" s="1"/>
  <c r="D723" i="6" s="1"/>
  <c r="J113" i="5"/>
  <c r="I61" i="4" s="1"/>
  <c r="I113" i="5"/>
  <c r="H61" i="4" s="1"/>
  <c r="H113" i="5"/>
  <c r="G61" i="4" s="1"/>
  <c r="G699" i="6"/>
  <c r="H699" i="6"/>
  <c r="G704" i="6"/>
  <c r="G702" i="6" s="1"/>
  <c r="H704" i="6"/>
  <c r="H702" i="6" s="1"/>
  <c r="F699" i="6"/>
  <c r="F696" i="6" s="1"/>
  <c r="F704" i="6"/>
  <c r="F702" i="6" s="1"/>
  <c r="H725" i="6"/>
  <c r="H724" i="6" s="1"/>
  <c r="H723" i="6" s="1"/>
  <c r="G725" i="6"/>
  <c r="G724" i="6" s="1"/>
  <c r="G723" i="6" s="1"/>
  <c r="F725" i="6"/>
  <c r="F724" i="6" s="1"/>
  <c r="F723" i="6" s="1"/>
  <c r="H721" i="6"/>
  <c r="G721" i="6"/>
  <c r="F721" i="6"/>
  <c r="H719" i="6"/>
  <c r="G719" i="6"/>
  <c r="F719" i="6"/>
  <c r="H717" i="6"/>
  <c r="G717" i="6"/>
  <c r="F717" i="6"/>
  <c r="H714" i="6"/>
  <c r="G714" i="6"/>
  <c r="F714" i="6"/>
  <c r="H617" i="6"/>
  <c r="H616" i="6" s="1"/>
  <c r="G617" i="6"/>
  <c r="G616" i="6" s="1"/>
  <c r="F617" i="6"/>
  <c r="F616" i="6" s="1"/>
  <c r="H613" i="6"/>
  <c r="H612" i="6" s="1"/>
  <c r="H608" i="6" s="1"/>
  <c r="H607" i="6" s="1"/>
  <c r="H606" i="6" s="1"/>
  <c r="H605" i="6" s="1"/>
  <c r="G613" i="6"/>
  <c r="G612" i="6" s="1"/>
  <c r="G608" i="6" s="1"/>
  <c r="G607" i="6" s="1"/>
  <c r="G606" i="6" s="1"/>
  <c r="G605" i="6" s="1"/>
  <c r="F613" i="6"/>
  <c r="F612" i="6" s="1"/>
  <c r="F608" i="6" s="1"/>
  <c r="F607" i="6" s="1"/>
  <c r="F606" i="6" s="1"/>
  <c r="F605" i="6" s="1"/>
  <c r="G396" i="6"/>
  <c r="H396" i="6"/>
  <c r="F396" i="6"/>
  <c r="I50" i="2"/>
  <c r="J50" i="2"/>
  <c r="H50" i="2"/>
  <c r="H11" i="3" l="1"/>
  <c r="E533" i="5"/>
  <c r="F540" i="5"/>
  <c r="F533" i="5" s="1"/>
  <c r="F532" i="5"/>
  <c r="F518" i="5" s="1"/>
  <c r="E532" i="5"/>
  <c r="E518" i="5" s="1"/>
  <c r="E463" i="5"/>
  <c r="E51" i="2"/>
  <c r="E10" i="2" s="1"/>
  <c r="F51" i="2"/>
  <c r="F10" i="2" s="1"/>
  <c r="D608" i="6"/>
  <c r="E555" i="5"/>
  <c r="E554" i="5" s="1"/>
  <c r="E582" i="5" s="1"/>
  <c r="B41" i="9" s="1"/>
  <c r="B40" i="9" s="1"/>
  <c r="F272" i="5"/>
  <c r="F271" i="5" s="1"/>
  <c r="E86" i="4"/>
  <c r="E83" i="4" s="1"/>
  <c r="E350" i="5"/>
  <c r="D164" i="4"/>
  <c r="I112" i="5"/>
  <c r="I111" i="5" s="1"/>
  <c r="I110" i="5" s="1"/>
  <c r="H60" i="4"/>
  <c r="F112" i="5"/>
  <c r="F111" i="5" s="1"/>
  <c r="F110" i="5" s="1"/>
  <c r="F109" i="5" s="1"/>
  <c r="F244" i="5" s="1"/>
  <c r="E61" i="4"/>
  <c r="E60" i="4" s="1"/>
  <c r="E59" i="4" s="1"/>
  <c r="F392" i="5"/>
  <c r="F388" i="5" s="1"/>
  <c r="F387" i="5" s="1"/>
  <c r="E212" i="4"/>
  <c r="E208" i="4" s="1"/>
  <c r="E203" i="4" s="1"/>
  <c r="E202" i="4" s="1"/>
  <c r="F285" i="5"/>
  <c r="F284" i="5" s="1"/>
  <c r="E103" i="4"/>
  <c r="E97" i="4" s="1"/>
  <c r="E96" i="4" s="1"/>
  <c r="H112" i="5"/>
  <c r="H111" i="5" s="1"/>
  <c r="H110" i="5" s="1"/>
  <c r="G60" i="4"/>
  <c r="J112" i="5"/>
  <c r="J111" i="5" s="1"/>
  <c r="J110" i="5" s="1"/>
  <c r="I60" i="4"/>
  <c r="F343" i="5"/>
  <c r="E156" i="4"/>
  <c r="E133" i="4"/>
  <c r="F566" i="5"/>
  <c r="F565" i="5" s="1"/>
  <c r="E131" i="4"/>
  <c r="F325" i="5"/>
  <c r="E146" i="4"/>
  <c r="E138" i="4" s="1"/>
  <c r="C620" i="6"/>
  <c r="C619" i="6" s="1"/>
  <c r="C607" i="6" s="1"/>
  <c r="C606" i="6" s="1"/>
  <c r="C605" i="6" s="1"/>
  <c r="F354" i="5"/>
  <c r="F350" i="5" s="1"/>
  <c r="F372" i="5"/>
  <c r="F264" i="5"/>
  <c r="F381" i="5"/>
  <c r="F377" i="5" s="1"/>
  <c r="D635" i="6"/>
  <c r="D620" i="6"/>
  <c r="D449" i="6"/>
  <c r="C449" i="6"/>
  <c r="E497" i="5"/>
  <c r="E517" i="5" s="1"/>
  <c r="C413" i="6"/>
  <c r="C412" i="6" s="1"/>
  <c r="C596" i="6"/>
  <c r="D126" i="4"/>
  <c r="E605" i="5"/>
  <c r="B43" i="9" s="1"/>
  <c r="B42" i="9" s="1"/>
  <c r="E248" i="5"/>
  <c r="D394" i="6"/>
  <c r="D393" i="6" s="1"/>
  <c r="D392" i="6" s="1"/>
  <c r="D376" i="6"/>
  <c r="D322" i="6"/>
  <c r="D76" i="6"/>
  <c r="E314" i="5"/>
  <c r="E456" i="5"/>
  <c r="E321" i="5"/>
  <c r="E318" i="5" s="1"/>
  <c r="D687" i="6"/>
  <c r="D257" i="6"/>
  <c r="D254" i="6"/>
  <c r="D170" i="6"/>
  <c r="E426" i="5"/>
  <c r="E425" i="5" s="1"/>
  <c r="E419" i="5" s="1"/>
  <c r="C335" i="6"/>
  <c r="C331" i="6" s="1"/>
  <c r="C257" i="6"/>
  <c r="C254" i="6"/>
  <c r="E111" i="5"/>
  <c r="E110" i="5" s="1"/>
  <c r="C189" i="6"/>
  <c r="C188" i="6" s="1"/>
  <c r="C182" i="6"/>
  <c r="C170" i="6"/>
  <c r="C687" i="6"/>
  <c r="D210" i="6"/>
  <c r="D596" i="6"/>
  <c r="D425" i="6"/>
  <c r="D424" i="6" s="1"/>
  <c r="D131" i="6"/>
  <c r="C425" i="6"/>
  <c r="C424" i="6" s="1"/>
  <c r="D713" i="6"/>
  <c r="D712" i="6" s="1"/>
  <c r="D711" i="6" s="1"/>
  <c r="C515" i="6"/>
  <c r="D351" i="6"/>
  <c r="D350" i="6" s="1"/>
  <c r="E146" i="5"/>
  <c r="E143" i="5" s="1"/>
  <c r="D115" i="4"/>
  <c r="C10" i="6"/>
  <c r="D704" i="6"/>
  <c r="D702" i="6" s="1"/>
  <c r="D693" i="6" s="1"/>
  <c r="D498" i="6"/>
  <c r="D493" i="6"/>
  <c r="C571" i="6"/>
  <c r="C564" i="6" s="1"/>
  <c r="C563" i="6" s="1"/>
  <c r="C562" i="6" s="1"/>
  <c r="C561" i="6" s="1"/>
  <c r="E372" i="5"/>
  <c r="D186" i="4" s="1"/>
  <c r="C131" i="6"/>
  <c r="D11" i="6"/>
  <c r="D10" i="6" s="1"/>
  <c r="D220" i="6"/>
  <c r="D219" i="6" s="1"/>
  <c r="D218" i="6" s="1"/>
  <c r="C155" i="6"/>
  <c r="C150" i="6" s="1"/>
  <c r="E396" i="5"/>
  <c r="E381" i="5"/>
  <c r="E377" i="5" s="1"/>
  <c r="E347" i="5"/>
  <c r="D160" i="4" s="1"/>
  <c r="C713" i="6"/>
  <c r="C712" i="6" s="1"/>
  <c r="C711" i="6" s="1"/>
  <c r="C270" i="6"/>
  <c r="C265" i="6" s="1"/>
  <c r="E167" i="5"/>
  <c r="E164" i="5" s="1"/>
  <c r="E159" i="5" s="1"/>
  <c r="D60" i="6"/>
  <c r="D47" i="6"/>
  <c r="D41" i="6"/>
  <c r="C468" i="6"/>
  <c r="D131" i="4"/>
  <c r="D87" i="6"/>
  <c r="D65" i="6"/>
  <c r="C60" i="6"/>
  <c r="E302" i="5"/>
  <c r="D114" i="4" s="1"/>
  <c r="E275" i="5"/>
  <c r="D510" i="6"/>
  <c r="D509" i="6" s="1"/>
  <c r="D508" i="6" s="1"/>
  <c r="D496" i="6"/>
  <c r="D488" i="6"/>
  <c r="D475" i="6"/>
  <c r="C394" i="6"/>
  <c r="C393" i="6" s="1"/>
  <c r="C392" i="6" s="1"/>
  <c r="C376" i="6"/>
  <c r="C322" i="6"/>
  <c r="D238" i="6"/>
  <c r="C87" i="6"/>
  <c r="E333" i="5"/>
  <c r="D54" i="6"/>
  <c r="E303" i="5"/>
  <c r="D61" i="4"/>
  <c r="D60" i="4" s="1"/>
  <c r="C498" i="6"/>
  <c r="C493" i="6"/>
  <c r="D247" i="4"/>
  <c r="C47" i="6"/>
  <c r="E291" i="5"/>
  <c r="D103" i="4" s="1"/>
  <c r="C41" i="6"/>
  <c r="E281" i="5"/>
  <c r="D93" i="4" s="1"/>
  <c r="C704" i="6"/>
  <c r="C585" i="6"/>
  <c r="C524" i="6"/>
  <c r="C510" i="6"/>
  <c r="C509" i="6" s="1"/>
  <c r="C508" i="6" s="1"/>
  <c r="C496" i="6"/>
  <c r="D256" i="4"/>
  <c r="C488" i="6"/>
  <c r="D248" i="4"/>
  <c r="C475" i="6"/>
  <c r="D163" i="4"/>
  <c r="D161" i="4" s="1"/>
  <c r="D132" i="4"/>
  <c r="C351" i="6"/>
  <c r="C350" i="6" s="1"/>
  <c r="D335" i="6"/>
  <c r="D331" i="6" s="1"/>
  <c r="D270" i="6"/>
  <c r="D265" i="6" s="1"/>
  <c r="C238" i="6"/>
  <c r="C220" i="6"/>
  <c r="C219" i="6" s="1"/>
  <c r="C218" i="6" s="1"/>
  <c r="C210" i="6"/>
  <c r="D182" i="6"/>
  <c r="D155" i="6"/>
  <c r="D150" i="6" s="1"/>
  <c r="D149" i="6" s="1"/>
  <c r="D105" i="6"/>
  <c r="C65" i="6"/>
  <c r="E297" i="5"/>
  <c r="D20" i="6"/>
  <c r="D19" i="6" s="1"/>
  <c r="C20" i="6"/>
  <c r="C19" i="6" s="1"/>
  <c r="E264" i="5"/>
  <c r="D74" i="4" s="1"/>
  <c r="C43" i="9"/>
  <c r="C42" i="9" s="1"/>
  <c r="D585" i="6"/>
  <c r="D468" i="6"/>
  <c r="D571" i="6"/>
  <c r="D564" i="6" s="1"/>
  <c r="D563" i="6" s="1"/>
  <c r="D562" i="6" s="1"/>
  <c r="D561" i="6" s="1"/>
  <c r="D189" i="6"/>
  <c r="D188" i="6" s="1"/>
  <c r="D524" i="6"/>
  <c r="D515" i="6"/>
  <c r="G713" i="6"/>
  <c r="G712" i="6" s="1"/>
  <c r="G711" i="6" s="1"/>
  <c r="F713" i="6"/>
  <c r="F712" i="6" s="1"/>
  <c r="F711" i="6" s="1"/>
  <c r="H713" i="6"/>
  <c r="H712" i="6" s="1"/>
  <c r="H711" i="6" s="1"/>
  <c r="H273" i="6"/>
  <c r="J167" i="5" s="1"/>
  <c r="J164" i="5" s="1"/>
  <c r="J159" i="5" s="1"/>
  <c r="J129" i="5" s="1"/>
  <c r="G273" i="6"/>
  <c r="I167" i="5" s="1"/>
  <c r="I164" i="5" s="1"/>
  <c r="I159" i="5" s="1"/>
  <c r="I129" i="5" s="1"/>
  <c r="H167" i="5"/>
  <c r="H164" i="5" s="1"/>
  <c r="H159" i="5" s="1"/>
  <c r="H11" i="6"/>
  <c r="G11" i="6"/>
  <c r="G28" i="6"/>
  <c r="G27" i="6" s="1"/>
  <c r="H28" i="6"/>
  <c r="H27" i="6" s="1"/>
  <c r="G17" i="6"/>
  <c r="H17" i="6"/>
  <c r="G15" i="6"/>
  <c r="H15" i="6"/>
  <c r="H10" i="3" l="1"/>
  <c r="H9" i="3" s="1"/>
  <c r="I15" i="3"/>
  <c r="G59" i="4"/>
  <c r="G58" i="4" s="1"/>
  <c r="H59" i="4"/>
  <c r="H58" i="4" s="1"/>
  <c r="I59" i="4"/>
  <c r="I58" i="4" s="1"/>
  <c r="E74" i="4"/>
  <c r="E67" i="4" s="1"/>
  <c r="E66" i="4" s="1"/>
  <c r="E58" i="4" s="1"/>
  <c r="F258" i="5"/>
  <c r="F257" i="5" s="1"/>
  <c r="F247" i="5" s="1"/>
  <c r="C181" i="6"/>
  <c r="E455" i="5"/>
  <c r="E496" i="5" s="1"/>
  <c r="B35" i="9" s="1"/>
  <c r="B34" i="9" s="1"/>
  <c r="F555" i="5"/>
  <c r="F554" i="5" s="1"/>
  <c r="F582" i="5" s="1"/>
  <c r="C41" i="9" s="1"/>
  <c r="C40" i="9" s="1"/>
  <c r="H129" i="5"/>
  <c r="H109" i="5" s="1"/>
  <c r="H244" i="5" s="1"/>
  <c r="H245" i="5" s="1"/>
  <c r="E130" i="4"/>
  <c r="I109" i="5"/>
  <c r="I244" i="5" s="1"/>
  <c r="I245" i="5" s="1"/>
  <c r="D86" i="4"/>
  <c r="D83" i="4" s="1"/>
  <c r="E272" i="5"/>
  <c r="E82" i="4"/>
  <c r="J109" i="5"/>
  <c r="J244" i="5" s="1"/>
  <c r="J245" i="5" s="1"/>
  <c r="F369" i="5"/>
  <c r="F366" i="5" s="1"/>
  <c r="E186" i="4"/>
  <c r="E183" i="4" s="1"/>
  <c r="E196" i="4"/>
  <c r="E191" i="4" s="1"/>
  <c r="F313" i="5"/>
  <c r="E168" i="4"/>
  <c r="D619" i="6"/>
  <c r="D607" i="6" s="1"/>
  <c r="D606" i="6" s="1"/>
  <c r="D605" i="6" s="1"/>
  <c r="C31" i="9"/>
  <c r="C30" i="9" s="1"/>
  <c r="E129" i="5"/>
  <c r="E109" i="5" s="1"/>
  <c r="E244" i="5" s="1"/>
  <c r="B31" i="9" s="1"/>
  <c r="B30" i="9" s="1"/>
  <c r="D128" i="6"/>
  <c r="E343" i="5"/>
  <c r="D156" i="4"/>
  <c r="F88" i="2"/>
  <c r="E88" i="2"/>
  <c r="G10" i="3"/>
  <c r="G9" i="3" s="1"/>
  <c r="C584" i="6"/>
  <c r="C570" i="6" s="1"/>
  <c r="C569" i="6" s="1"/>
  <c r="C568" i="6" s="1"/>
  <c r="C149" i="6"/>
  <c r="D514" i="6"/>
  <c r="D513" i="6" s="1"/>
  <c r="D512" i="6" s="1"/>
  <c r="C411" i="6"/>
  <c r="C251" i="6"/>
  <c r="C237" i="6" s="1"/>
  <c r="C217" i="6" s="1"/>
  <c r="D349" i="6"/>
  <c r="D251" i="6"/>
  <c r="C9" i="6"/>
  <c r="D686" i="6"/>
  <c r="D685" i="6" s="1"/>
  <c r="D684" i="6" s="1"/>
  <c r="D584" i="6"/>
  <c r="D570" i="6" s="1"/>
  <c r="D569" i="6" s="1"/>
  <c r="D568" i="6" s="1"/>
  <c r="C75" i="6"/>
  <c r="D75" i="6"/>
  <c r="C33" i="6"/>
  <c r="C349" i="6"/>
  <c r="C46" i="6"/>
  <c r="C487" i="6"/>
  <c r="C483" i="6" s="1"/>
  <c r="C478" i="6" s="1"/>
  <c r="D33" i="6"/>
  <c r="D181" i="6"/>
  <c r="D411" i="6"/>
  <c r="C467" i="6"/>
  <c r="C458" i="6" s="1"/>
  <c r="C448" i="6" s="1"/>
  <c r="C434" i="6" s="1"/>
  <c r="C433" i="6" s="1"/>
  <c r="C702" i="6"/>
  <c r="C693" i="6" s="1"/>
  <c r="C686" i="6" s="1"/>
  <c r="C685" i="6" s="1"/>
  <c r="C684" i="6" s="1"/>
  <c r="C514" i="6"/>
  <c r="C513" i="6" s="1"/>
  <c r="C512" i="6" s="1"/>
  <c r="D133" i="4"/>
  <c r="D130" i="4" s="1"/>
  <c r="D253" i="4"/>
  <c r="D252" i="4" s="1"/>
  <c r="E88" i="5"/>
  <c r="D146" i="4"/>
  <c r="D138" i="4" s="1"/>
  <c r="E325" i="5"/>
  <c r="D467" i="6"/>
  <c r="D271" i="4"/>
  <c r="D270" i="4" s="1"/>
  <c r="D269" i="4" s="1"/>
  <c r="D268" i="4" s="1"/>
  <c r="E105" i="5"/>
  <c r="E104" i="5" s="1"/>
  <c r="E103" i="5" s="1"/>
  <c r="D246" i="4"/>
  <c r="D259" i="4"/>
  <c r="D258" i="4" s="1"/>
  <c r="E93" i="5"/>
  <c r="D59" i="4"/>
  <c r="D487" i="6"/>
  <c r="D483" i="6" s="1"/>
  <c r="D478" i="6" s="1"/>
  <c r="D196" i="4"/>
  <c r="D191" i="4" s="1"/>
  <c r="D9" i="6"/>
  <c r="D110" i="4"/>
  <c r="E298" i="5"/>
  <c r="D183" i="4"/>
  <c r="E369" i="5"/>
  <c r="D109" i="4"/>
  <c r="D104" i="4" s="1"/>
  <c r="E292" i="5"/>
  <c r="E279" i="5"/>
  <c r="D91" i="4"/>
  <c r="E56" i="5"/>
  <c r="E44" i="5" s="1"/>
  <c r="E22" i="5" s="1"/>
  <c r="D255" i="4"/>
  <c r="E91" i="5"/>
  <c r="D97" i="4"/>
  <c r="E285" i="5"/>
  <c r="E83" i="5"/>
  <c r="D46" i="6"/>
  <c r="D212" i="4"/>
  <c r="D208" i="4" s="1"/>
  <c r="E392" i="5"/>
  <c r="C128" i="6"/>
  <c r="D67" i="4"/>
  <c r="D66" i="4" s="1"/>
  <c r="E258" i="5"/>
  <c r="E257" i="5" s="1"/>
  <c r="E247" i="5" s="1"/>
  <c r="H10" i="6"/>
  <c r="G10" i="6"/>
  <c r="I24" i="3" l="1"/>
  <c r="I37" i="3" s="1"/>
  <c r="F284" i="4" s="1"/>
  <c r="F282" i="4" s="1"/>
  <c r="F281" i="4" s="1"/>
  <c r="F280" i="4" s="1"/>
  <c r="D742" i="6"/>
  <c r="C742" i="6"/>
  <c r="E82" i="5"/>
  <c r="E78" i="5" s="1"/>
  <c r="E73" i="5" s="1"/>
  <c r="D245" i="4"/>
  <c r="D241" i="4" s="1"/>
  <c r="D234" i="4" s="1"/>
  <c r="G14" i="3" s="1"/>
  <c r="E164" i="4"/>
  <c r="E125" i="4" s="1"/>
  <c r="F270" i="5"/>
  <c r="F246" i="5" s="1"/>
  <c r="F453" i="5" s="1"/>
  <c r="E180" i="4"/>
  <c r="C35" i="9"/>
  <c r="C34" i="9" s="1"/>
  <c r="C447" i="6"/>
  <c r="C446" i="6" s="1"/>
  <c r="C216" i="6"/>
  <c r="D237" i="6"/>
  <c r="C32" i="6"/>
  <c r="C8" i="6" s="1"/>
  <c r="C741" i="6" s="1"/>
  <c r="D32" i="6"/>
  <c r="D8" i="6" s="1"/>
  <c r="D458" i="6"/>
  <c r="D448" i="6" s="1"/>
  <c r="E388" i="5"/>
  <c r="E387" i="5" s="1"/>
  <c r="D203" i="4"/>
  <c r="D202" i="4" s="1"/>
  <c r="E313" i="5"/>
  <c r="E284" i="5"/>
  <c r="E366" i="5"/>
  <c r="D96" i="4"/>
  <c r="D58" i="4"/>
  <c r="D180" i="4"/>
  <c r="E271" i="5"/>
  <c r="D125" i="4"/>
  <c r="D82" i="4"/>
  <c r="H14" i="3"/>
  <c r="J321" i="5"/>
  <c r="J318" i="5" s="1"/>
  <c r="I321" i="5"/>
  <c r="I318" i="5" s="1"/>
  <c r="H321" i="5"/>
  <c r="H318" i="5" s="1"/>
  <c r="H76" i="6"/>
  <c r="G76" i="6"/>
  <c r="F76" i="6"/>
  <c r="H20" i="6"/>
  <c r="H19" i="6" s="1"/>
  <c r="H9" i="6" s="1"/>
  <c r="G20" i="6"/>
  <c r="G19" i="6" s="1"/>
  <c r="G9" i="6" s="1"/>
  <c r="D447" i="6" l="1"/>
  <c r="D446" i="6" s="1"/>
  <c r="D434" i="6"/>
  <c r="D433" i="6" s="1"/>
  <c r="D217" i="6"/>
  <c r="D741" i="6" s="1"/>
  <c r="D743" i="6" s="1"/>
  <c r="C743" i="6"/>
  <c r="E81" i="4"/>
  <c r="E57" i="4" s="1"/>
  <c r="E274" i="4" s="1"/>
  <c r="F8" i="5"/>
  <c r="F607" i="5"/>
  <c r="J313" i="5"/>
  <c r="J270" i="5" s="1"/>
  <c r="J246" i="5" s="1"/>
  <c r="J607" i="5" s="1"/>
  <c r="I133" i="4"/>
  <c r="I313" i="5"/>
  <c r="I270" i="5" s="1"/>
  <c r="I246" i="5" s="1"/>
  <c r="I607" i="5" s="1"/>
  <c r="H133" i="4"/>
  <c r="H313" i="5"/>
  <c r="G133" i="4"/>
  <c r="D7" i="6"/>
  <c r="D81" i="4"/>
  <c r="D57" i="4" s="1"/>
  <c r="E270" i="5"/>
  <c r="E246" i="5" s="1"/>
  <c r="C33" i="9"/>
  <c r="C32" i="9" s="1"/>
  <c r="E11" i="5"/>
  <c r="C7" i="6"/>
  <c r="E9" i="5"/>
  <c r="C29" i="9"/>
  <c r="C28" i="9" s="1"/>
  <c r="J8" i="5" l="1"/>
  <c r="I8" i="5"/>
  <c r="H270" i="5"/>
  <c r="H246" i="5" s="1"/>
  <c r="J453" i="5"/>
  <c r="J454" i="5" s="1"/>
  <c r="C6" i="6"/>
  <c r="C5" i="6"/>
  <c r="D216" i="6"/>
  <c r="D6" i="6" s="1"/>
  <c r="H13" i="3"/>
  <c r="H12" i="3" s="1"/>
  <c r="H15" i="3" s="1"/>
  <c r="H37" i="3" s="1"/>
  <c r="H130" i="4"/>
  <c r="H125" i="4" s="1"/>
  <c r="H81" i="4" s="1"/>
  <c r="H57" i="4" s="1"/>
  <c r="H274" i="4" s="1"/>
  <c r="G130" i="4"/>
  <c r="G125" i="4" s="1"/>
  <c r="G81" i="4" s="1"/>
  <c r="I130" i="4"/>
  <c r="I125" i="4" s="1"/>
  <c r="I81" i="4" s="1"/>
  <c r="I57" i="4" s="1"/>
  <c r="I274" i="4" s="1"/>
  <c r="I453" i="5"/>
  <c r="I454" i="5" s="1"/>
  <c r="C27" i="9"/>
  <c r="D274" i="4"/>
  <c r="B10" i="8" s="1"/>
  <c r="G13" i="3"/>
  <c r="G12" i="3" s="1"/>
  <c r="G15" i="3" s="1"/>
  <c r="G30" i="3" s="1"/>
  <c r="I31" i="3" s="1"/>
  <c r="E107" i="5"/>
  <c r="B29" i="9" s="1"/>
  <c r="B28" i="9" s="1"/>
  <c r="E607" i="5"/>
  <c r="C10" i="8"/>
  <c r="E8" i="5"/>
  <c r="E453" i="5"/>
  <c r="B33" i="9" s="1"/>
  <c r="B32" i="9" s="1"/>
  <c r="H453" i="5" l="1"/>
  <c r="H454" i="5" s="1"/>
  <c r="G57" i="4"/>
  <c r="G274" i="4" s="1"/>
  <c r="D5" i="6"/>
  <c r="H24" i="3"/>
  <c r="H29" i="3"/>
  <c r="G24" i="3"/>
  <c r="G37" i="3"/>
  <c r="G39" i="3" s="1"/>
  <c r="B13" i="8"/>
  <c r="B14" i="8"/>
  <c r="B15" i="8"/>
  <c r="C14" i="8"/>
  <c r="C15" i="8"/>
  <c r="C13" i="8"/>
  <c r="B27" i="9"/>
  <c r="H36" i="3" l="1"/>
  <c r="E284" i="4" s="1"/>
  <c r="E282" i="4" s="1"/>
  <c r="E281" i="4" s="1"/>
  <c r="E280" i="4" s="1"/>
  <c r="I39" i="3"/>
  <c r="J36" i="3"/>
  <c r="B12" i="8"/>
  <c r="B11" i="8" s="1"/>
  <c r="C12" i="8"/>
  <c r="C11" i="8" s="1"/>
  <c r="G167" i="6" l="1"/>
  <c r="G166" i="6" s="1"/>
  <c r="G165" i="6" s="1"/>
  <c r="H167" i="6"/>
  <c r="H166" i="6" s="1"/>
  <c r="H165" i="6" s="1"/>
  <c r="F167" i="6"/>
  <c r="F166" i="6" s="1"/>
  <c r="G300" i="6"/>
  <c r="G299" i="6" s="1"/>
  <c r="H300" i="6"/>
  <c r="H299" i="6" s="1"/>
  <c r="G278" i="6"/>
  <c r="H278" i="6"/>
  <c r="G270" i="6"/>
  <c r="H270" i="6"/>
  <c r="G254" i="6"/>
  <c r="H254" i="6"/>
  <c r="G252" i="6"/>
  <c r="H252" i="6"/>
  <c r="G220" i="6"/>
  <c r="H220" i="6"/>
  <c r="H238" i="6" l="1"/>
  <c r="H265" i="6"/>
  <c r="G265" i="6"/>
  <c r="H251" i="6"/>
  <c r="G251" i="6"/>
  <c r="G238" i="6"/>
  <c r="G237" i="6" l="1"/>
  <c r="H237" i="6"/>
  <c r="G599" i="6"/>
  <c r="H599" i="6"/>
  <c r="G597" i="6"/>
  <c r="H597" i="6"/>
  <c r="G592" i="6"/>
  <c r="H592" i="6"/>
  <c r="G590" i="6"/>
  <c r="H590" i="6"/>
  <c r="F592" i="6"/>
  <c r="F590" i="6"/>
  <c r="F597" i="6"/>
  <c r="F599" i="6"/>
  <c r="G573" i="6"/>
  <c r="G572" i="6" s="1"/>
  <c r="H573" i="6"/>
  <c r="H572" i="6" s="1"/>
  <c r="F573" i="6"/>
  <c r="F572" i="6" s="1"/>
  <c r="H596" i="6" l="1"/>
  <c r="F585" i="6"/>
  <c r="F596" i="6"/>
  <c r="G596" i="6"/>
  <c r="H585" i="6"/>
  <c r="G585" i="6"/>
  <c r="G575" i="6"/>
  <c r="H575" i="6"/>
  <c r="F575" i="6"/>
  <c r="G582" i="6"/>
  <c r="G581" i="6" s="1"/>
  <c r="H582" i="6"/>
  <c r="H581" i="6" s="1"/>
  <c r="F582" i="6"/>
  <c r="F581" i="6" s="1"/>
  <c r="G522" i="6"/>
  <c r="G521" i="6" s="1"/>
  <c r="H522" i="6"/>
  <c r="H521" i="6" s="1"/>
  <c r="G517" i="6"/>
  <c r="G516" i="6" s="1"/>
  <c r="H517" i="6"/>
  <c r="H516" i="6" s="1"/>
  <c r="F517" i="6"/>
  <c r="F516" i="6" s="1"/>
  <c r="F522" i="6"/>
  <c r="F521" i="6" s="1"/>
  <c r="F498" i="6"/>
  <c r="F496" i="6"/>
  <c r="F488" i="6"/>
  <c r="G510" i="6"/>
  <c r="G509" i="6" s="1"/>
  <c r="H510" i="6"/>
  <c r="H509" i="6" s="1"/>
  <c r="F510" i="6"/>
  <c r="F509" i="6" s="1"/>
  <c r="F508" i="6" s="1"/>
  <c r="G496" i="6"/>
  <c r="H496" i="6"/>
  <c r="G498" i="6"/>
  <c r="H498" i="6"/>
  <c r="G488" i="6"/>
  <c r="H488" i="6"/>
  <c r="G431" i="6"/>
  <c r="G428" i="6" s="1"/>
  <c r="H431" i="6"/>
  <c r="H428" i="6" s="1"/>
  <c r="F431" i="6"/>
  <c r="F428" i="6" s="1"/>
  <c r="G395" i="6"/>
  <c r="H395" i="6"/>
  <c r="F395" i="6"/>
  <c r="G360" i="6"/>
  <c r="G359" i="6" s="1"/>
  <c r="H360" i="6"/>
  <c r="H359" i="6" s="1"/>
  <c r="G353" i="6"/>
  <c r="G352" i="6" s="1"/>
  <c r="H353" i="6"/>
  <c r="H352" i="6" s="1"/>
  <c r="F360" i="6"/>
  <c r="F359" i="6" s="1"/>
  <c r="F353" i="6"/>
  <c r="F352" i="6" s="1"/>
  <c r="F300" i="6"/>
  <c r="F299" i="6" s="1"/>
  <c r="F254" i="6"/>
  <c r="F278" i="6"/>
  <c r="F270" i="6"/>
  <c r="F252" i="6"/>
  <c r="G235" i="6"/>
  <c r="G234" i="6" s="1"/>
  <c r="H235" i="6"/>
  <c r="H234" i="6" s="1"/>
  <c r="F235" i="6"/>
  <c r="F234" i="6" s="1"/>
  <c r="G226" i="6"/>
  <c r="H226" i="6"/>
  <c r="F226" i="6"/>
  <c r="G224" i="6"/>
  <c r="G219" i="6" s="1"/>
  <c r="H224" i="6"/>
  <c r="H219" i="6" s="1"/>
  <c r="F224" i="6"/>
  <c r="F220" i="6"/>
  <c r="G212" i="6"/>
  <c r="G211" i="6" s="1"/>
  <c r="H212" i="6"/>
  <c r="H211" i="6" s="1"/>
  <c r="F212" i="6"/>
  <c r="F211" i="6" s="1"/>
  <c r="G206" i="6"/>
  <c r="H206" i="6"/>
  <c r="F206" i="6"/>
  <c r="G203" i="6"/>
  <c r="H203" i="6"/>
  <c r="F203" i="6"/>
  <c r="G201" i="6"/>
  <c r="H201" i="6"/>
  <c r="F201" i="6"/>
  <c r="F184" i="6"/>
  <c r="F183" i="6" s="1"/>
  <c r="G184" i="6"/>
  <c r="H184" i="6"/>
  <c r="G198" i="6"/>
  <c r="H198" i="6"/>
  <c r="F198" i="6"/>
  <c r="H195" i="6"/>
  <c r="G195" i="6"/>
  <c r="F195" i="6"/>
  <c r="G190" i="6"/>
  <c r="H190" i="6"/>
  <c r="F190" i="6"/>
  <c r="G179" i="6"/>
  <c r="H179" i="6"/>
  <c r="G171" i="6"/>
  <c r="H171" i="6"/>
  <c r="G176" i="6"/>
  <c r="G173" i="6" s="1"/>
  <c r="H176" i="6"/>
  <c r="H173" i="6" s="1"/>
  <c r="F171" i="6"/>
  <c r="F176" i="6"/>
  <c r="F173" i="6" s="1"/>
  <c r="G155" i="6"/>
  <c r="H155" i="6"/>
  <c r="G146" i="6"/>
  <c r="H146" i="6"/>
  <c r="G144" i="6"/>
  <c r="H144" i="6"/>
  <c r="G137" i="6"/>
  <c r="H137" i="6"/>
  <c r="G135" i="6"/>
  <c r="H135" i="6"/>
  <c r="G131" i="6"/>
  <c r="H131" i="6"/>
  <c r="G129" i="6"/>
  <c r="H129" i="6"/>
  <c r="G118" i="6"/>
  <c r="G117" i="6" s="1"/>
  <c r="H118" i="6"/>
  <c r="H117" i="6" s="1"/>
  <c r="G110" i="6"/>
  <c r="H110" i="6"/>
  <c r="G105" i="6"/>
  <c r="H105" i="6"/>
  <c r="G87" i="6"/>
  <c r="H87" i="6"/>
  <c r="G85" i="6"/>
  <c r="H85" i="6"/>
  <c r="G73" i="6"/>
  <c r="H73" i="6"/>
  <c r="G65" i="6"/>
  <c r="H65" i="6"/>
  <c r="G60" i="6"/>
  <c r="H60" i="6"/>
  <c r="G54" i="6"/>
  <c r="H54" i="6"/>
  <c r="G47" i="6"/>
  <c r="H47" i="6"/>
  <c r="G44" i="6"/>
  <c r="H44" i="6"/>
  <c r="G41" i="6"/>
  <c r="H41" i="6"/>
  <c r="G39" i="6"/>
  <c r="H39" i="6"/>
  <c r="F146" i="6"/>
  <c r="F144" i="6"/>
  <c r="F137" i="6"/>
  <c r="F135" i="6"/>
  <c r="F131" i="6"/>
  <c r="F129" i="6"/>
  <c r="F118" i="6"/>
  <c r="F117" i="6" s="1"/>
  <c r="F110" i="6"/>
  <c r="F105" i="6"/>
  <c r="F85" i="6"/>
  <c r="F73" i="6"/>
  <c r="F60" i="6"/>
  <c r="F54" i="6"/>
  <c r="F44" i="6"/>
  <c r="F41" i="6"/>
  <c r="F39" i="6"/>
  <c r="F28" i="6"/>
  <c r="F27" i="6" s="1"/>
  <c r="F19" i="6"/>
  <c r="F17" i="6"/>
  <c r="F15" i="6"/>
  <c r="F11" i="6"/>
  <c r="H48" i="2"/>
  <c r="F487" i="6" l="1"/>
  <c r="F483" i="6" s="1"/>
  <c r="F478" i="6" s="1"/>
  <c r="F265" i="6"/>
  <c r="H487" i="6"/>
  <c r="H483" i="6" s="1"/>
  <c r="G487" i="6"/>
  <c r="G483" i="6" s="1"/>
  <c r="F251" i="6"/>
  <c r="F150" i="6"/>
  <c r="F149" i="6" s="1"/>
  <c r="H150" i="6"/>
  <c r="H149" i="6" s="1"/>
  <c r="G150" i="6"/>
  <c r="G149" i="6" s="1"/>
  <c r="G33" i="6"/>
  <c r="F10" i="6"/>
  <c r="F9" i="6" s="1"/>
  <c r="H33" i="6"/>
  <c r="H218" i="6"/>
  <c r="G218" i="6"/>
  <c r="G467" i="6"/>
  <c r="H467" i="6"/>
  <c r="F467" i="6"/>
  <c r="F219" i="6"/>
  <c r="F218" i="6" s="1"/>
  <c r="H189" i="6"/>
  <c r="F189" i="6"/>
  <c r="G189" i="6"/>
  <c r="H170" i="6"/>
  <c r="G170" i="6"/>
  <c r="F128" i="6"/>
  <c r="H128" i="6"/>
  <c r="G128" i="6"/>
  <c r="H75" i="6"/>
  <c r="G75" i="6"/>
  <c r="H46" i="6"/>
  <c r="G46" i="6"/>
  <c r="F75" i="6"/>
  <c r="F46" i="6"/>
  <c r="F33" i="6"/>
  <c r="F237" i="6" l="1"/>
  <c r="F32" i="6"/>
  <c r="H32" i="6"/>
  <c r="G32" i="6"/>
  <c r="H47" i="2"/>
  <c r="H46" i="2" s="1"/>
  <c r="I47" i="2"/>
  <c r="I46" i="2" s="1"/>
  <c r="J47" i="2"/>
  <c r="J46" i="2" s="1"/>
  <c r="I76" i="2" l="1"/>
  <c r="I75" i="2" s="1"/>
  <c r="J76" i="2"/>
  <c r="J75" i="2" s="1"/>
  <c r="H76" i="2"/>
  <c r="I74" i="2"/>
  <c r="I73" i="2" s="1"/>
  <c r="I72" i="2" s="1"/>
  <c r="J74" i="2"/>
  <c r="J73" i="2" s="1"/>
  <c r="J72" i="2" s="1"/>
  <c r="H74" i="2"/>
  <c r="H73" i="2" s="1"/>
  <c r="H72" i="2" s="1"/>
  <c r="I70" i="2"/>
  <c r="J70" i="2"/>
  <c r="H70" i="2"/>
  <c r="I69" i="2"/>
  <c r="I68" i="2" s="1"/>
  <c r="J69" i="2"/>
  <c r="J68" i="2" s="1"/>
  <c r="H69" i="2"/>
  <c r="H68" i="2" s="1"/>
  <c r="I63" i="2"/>
  <c r="I61" i="2" s="1"/>
  <c r="J63" i="2"/>
  <c r="J61" i="2" s="1"/>
  <c r="I57" i="2"/>
  <c r="J57" i="2"/>
  <c r="H57" i="2"/>
  <c r="I37" i="2"/>
  <c r="I36" i="2" s="1"/>
  <c r="I35" i="2" s="1"/>
  <c r="I34" i="2" s="1"/>
  <c r="J37" i="2"/>
  <c r="J36" i="2" s="1"/>
  <c r="J35" i="2" s="1"/>
  <c r="J34" i="2" s="1"/>
  <c r="H37" i="2"/>
  <c r="H36" i="2" s="1"/>
  <c r="H35" i="2" s="1"/>
  <c r="H34" i="2" s="1"/>
  <c r="I27" i="2"/>
  <c r="J27" i="2"/>
  <c r="H27" i="2"/>
  <c r="I23" i="2"/>
  <c r="I22" i="2" s="1"/>
  <c r="I21" i="2" s="1"/>
  <c r="J23" i="2"/>
  <c r="J22" i="2" s="1"/>
  <c r="J21" i="2" s="1"/>
  <c r="H23" i="2"/>
  <c r="H22" i="2" s="1"/>
  <c r="H21" i="2" s="1"/>
  <c r="I20" i="2"/>
  <c r="I19" i="2" s="1"/>
  <c r="I18" i="2" s="1"/>
  <c r="J20" i="2"/>
  <c r="J19" i="2" s="1"/>
  <c r="J18" i="2" s="1"/>
  <c r="H20" i="2"/>
  <c r="H508" i="6"/>
  <c r="H478" i="6" s="1"/>
  <c r="G163" i="6"/>
  <c r="G162" i="6" s="1"/>
  <c r="H163" i="6"/>
  <c r="H162" i="6" s="1"/>
  <c r="G183" i="6"/>
  <c r="H183" i="6"/>
  <c r="G186" i="6"/>
  <c r="H186" i="6"/>
  <c r="G205" i="6"/>
  <c r="H205" i="6"/>
  <c r="G208" i="6"/>
  <c r="H208" i="6"/>
  <c r="G214" i="6"/>
  <c r="G210" i="6" s="1"/>
  <c r="H214" i="6"/>
  <c r="H210" i="6" s="1"/>
  <c r="G311" i="6"/>
  <c r="H311" i="6"/>
  <c r="G320" i="6"/>
  <c r="G319" i="6" s="1"/>
  <c r="H320" i="6"/>
  <c r="H319" i="6" s="1"/>
  <c r="G323" i="6"/>
  <c r="H323" i="6"/>
  <c r="G329" i="6"/>
  <c r="H329" i="6"/>
  <c r="G333" i="6"/>
  <c r="G332" i="6" s="1"/>
  <c r="H333" i="6"/>
  <c r="H332" i="6" s="1"/>
  <c r="G336" i="6"/>
  <c r="H336" i="6"/>
  <c r="G338" i="6"/>
  <c r="H338" i="6"/>
  <c r="G345" i="6"/>
  <c r="H345" i="6"/>
  <c r="G347" i="6"/>
  <c r="H347" i="6"/>
  <c r="G357" i="6"/>
  <c r="G351" i="6" s="1"/>
  <c r="H357" i="6"/>
  <c r="H351" i="6" s="1"/>
  <c r="G363" i="6"/>
  <c r="G362" i="6" s="1"/>
  <c r="H363" i="6"/>
  <c r="H362" i="6" s="1"/>
  <c r="G374" i="6"/>
  <c r="G373" i="6" s="1"/>
  <c r="H374" i="6"/>
  <c r="H373" i="6" s="1"/>
  <c r="G378" i="6"/>
  <c r="G377" i="6" s="1"/>
  <c r="H378" i="6"/>
  <c r="H377" i="6" s="1"/>
  <c r="G382" i="6"/>
  <c r="H382" i="6"/>
  <c r="G400" i="6"/>
  <c r="G394" i="6" s="1"/>
  <c r="G393" i="6" s="1"/>
  <c r="H400" i="6"/>
  <c r="H394" i="6" s="1"/>
  <c r="H393" i="6" s="1"/>
  <c r="G407" i="6"/>
  <c r="G406" i="6" s="1"/>
  <c r="G405" i="6" s="1"/>
  <c r="H407" i="6"/>
  <c r="H406" i="6" s="1"/>
  <c r="H405" i="6" s="1"/>
  <c r="G426" i="6"/>
  <c r="H426" i="6"/>
  <c r="G450" i="6"/>
  <c r="H450" i="6"/>
  <c r="G453" i="6"/>
  <c r="H453" i="6"/>
  <c r="G455" i="6"/>
  <c r="H455" i="6"/>
  <c r="G459" i="6"/>
  <c r="G458" i="6" s="1"/>
  <c r="H459" i="6"/>
  <c r="H458" i="6" s="1"/>
  <c r="G508" i="6"/>
  <c r="G478" i="6" s="1"/>
  <c r="G519" i="6"/>
  <c r="G515" i="6" s="1"/>
  <c r="H519" i="6"/>
  <c r="H515" i="6" s="1"/>
  <c r="G525" i="6"/>
  <c r="H525" i="6"/>
  <c r="G527" i="6"/>
  <c r="H527" i="6"/>
  <c r="G529" i="6"/>
  <c r="H529" i="6"/>
  <c r="G594" i="6"/>
  <c r="G584" i="6" s="1"/>
  <c r="H594" i="6"/>
  <c r="H584" i="6" s="1"/>
  <c r="G688" i="6"/>
  <c r="H688" i="6"/>
  <c r="G691" i="6"/>
  <c r="H691" i="6"/>
  <c r="G694" i="6"/>
  <c r="H694" i="6"/>
  <c r="G696" i="6"/>
  <c r="H696" i="6"/>
  <c r="G709" i="6"/>
  <c r="G708" i="6" s="1"/>
  <c r="H709" i="6"/>
  <c r="H708" i="6" s="1"/>
  <c r="I56" i="2" l="1"/>
  <c r="I52" i="2" s="1"/>
  <c r="H56" i="2"/>
  <c r="H52" i="2" s="1"/>
  <c r="J56" i="2"/>
  <c r="J52" i="2" s="1"/>
  <c r="H392" i="6"/>
  <c r="G392" i="6"/>
  <c r="G449" i="6"/>
  <c r="H449" i="6"/>
  <c r="H448" i="6" s="1"/>
  <c r="H447" i="6" s="1"/>
  <c r="H446" i="6" s="1"/>
  <c r="G41" i="9"/>
  <c r="G40" i="9" s="1"/>
  <c r="F41" i="9"/>
  <c r="F40" i="9" s="1"/>
  <c r="H350" i="6"/>
  <c r="G350" i="6"/>
  <c r="G188" i="6"/>
  <c r="H188" i="6"/>
  <c r="H693" i="6"/>
  <c r="H322" i="6"/>
  <c r="H217" i="6" s="1"/>
  <c r="G693" i="6"/>
  <c r="G182" i="6"/>
  <c r="H687" i="6"/>
  <c r="H686" i="6" s="1"/>
  <c r="H685" i="6" s="1"/>
  <c r="H684" i="6" s="1"/>
  <c r="H524" i="6"/>
  <c r="H514" i="6" s="1"/>
  <c r="H376" i="6"/>
  <c r="H182" i="6"/>
  <c r="G687" i="6"/>
  <c r="G686" i="6" s="1"/>
  <c r="G685" i="6" s="1"/>
  <c r="G684" i="6" s="1"/>
  <c r="G524" i="6"/>
  <c r="G514" i="6" s="1"/>
  <c r="G376" i="6"/>
  <c r="H67" i="2"/>
  <c r="H66" i="2" s="1"/>
  <c r="I67" i="2"/>
  <c r="I66" i="2" s="1"/>
  <c r="J67" i="2"/>
  <c r="J66" i="2" s="1"/>
  <c r="H19" i="2"/>
  <c r="H18" i="2" s="1"/>
  <c r="H571" i="6"/>
  <c r="G571" i="6"/>
  <c r="H425" i="6"/>
  <c r="H424" i="6" s="1"/>
  <c r="G425" i="6"/>
  <c r="G424" i="6" s="1"/>
  <c r="G322" i="6"/>
  <c r="G217" i="6" s="1"/>
  <c r="G335" i="6"/>
  <c r="G331" i="6" s="1"/>
  <c r="H335" i="6"/>
  <c r="H331" i="6" s="1"/>
  <c r="G16" i="8"/>
  <c r="F16" i="8"/>
  <c r="E16" i="8"/>
  <c r="F709" i="6"/>
  <c r="F708" i="6" s="1"/>
  <c r="F694" i="6"/>
  <c r="F693" i="6" s="1"/>
  <c r="F691" i="6"/>
  <c r="F688" i="6"/>
  <c r="F594" i="6"/>
  <c r="F584" i="6" s="1"/>
  <c r="F529" i="6"/>
  <c r="F527" i="6"/>
  <c r="F525" i="6"/>
  <c r="F519" i="6"/>
  <c r="F515" i="6" s="1"/>
  <c r="F459" i="6"/>
  <c r="F458" i="6" s="1"/>
  <c r="F455" i="6"/>
  <c r="F453" i="6"/>
  <c r="F450" i="6"/>
  <c r="F426" i="6"/>
  <c r="F425" i="6" s="1"/>
  <c r="F407" i="6"/>
  <c r="F406" i="6" s="1"/>
  <c r="F405" i="6" s="1"/>
  <c r="F400" i="6"/>
  <c r="F394" i="6" s="1"/>
  <c r="F393" i="6" s="1"/>
  <c r="F382" i="6"/>
  <c r="F378" i="6"/>
  <c r="F377" i="6" s="1"/>
  <c r="F374" i="6"/>
  <c r="F373" i="6" s="1"/>
  <c r="F363" i="6"/>
  <c r="F362" i="6" s="1"/>
  <c r="F357" i="6"/>
  <c r="F351" i="6" s="1"/>
  <c r="F347" i="6"/>
  <c r="F345" i="6"/>
  <c r="F338" i="6"/>
  <c r="F336" i="6"/>
  <c r="F333" i="6"/>
  <c r="F332" i="6" s="1"/>
  <c r="F329" i="6"/>
  <c r="F323" i="6"/>
  <c r="F320" i="6"/>
  <c r="F319" i="6" s="1"/>
  <c r="F214" i="6"/>
  <c r="F210" i="6" s="1"/>
  <c r="F208" i="6"/>
  <c r="F205" i="6"/>
  <c r="F186" i="6"/>
  <c r="F182" i="6" s="1"/>
  <c r="F179" i="6"/>
  <c r="F170" i="6" s="1"/>
  <c r="F165" i="6"/>
  <c r="F163" i="6"/>
  <c r="F162" i="6" s="1"/>
  <c r="G49" i="4"/>
  <c r="G48" i="4" s="1"/>
  <c r="I48" i="4"/>
  <c r="I47" i="4" s="1"/>
  <c r="I46" i="4" s="1"/>
  <c r="H48" i="4"/>
  <c r="H47" i="4" s="1"/>
  <c r="G45" i="4"/>
  <c r="G44" i="4" s="1"/>
  <c r="G43" i="4" s="1"/>
  <c r="I44" i="4"/>
  <c r="I43" i="4" s="1"/>
  <c r="H44" i="4"/>
  <c r="H43" i="4" s="1"/>
  <c r="G42" i="4"/>
  <c r="G41" i="4" s="1"/>
  <c r="G40" i="4" s="1"/>
  <c r="I41" i="4"/>
  <c r="I40" i="4" s="1"/>
  <c r="H41" i="4"/>
  <c r="H40" i="4" s="1"/>
  <c r="G39" i="4"/>
  <c r="I38" i="4"/>
  <c r="I37" i="4" s="1"/>
  <c r="G38" i="4"/>
  <c r="H37" i="4"/>
  <c r="G36" i="4"/>
  <c r="G35" i="4"/>
  <c r="I34" i="4"/>
  <c r="H34" i="4"/>
  <c r="H32" i="4"/>
  <c r="H31" i="4" s="1"/>
  <c r="H30" i="4" s="1"/>
  <c r="G32" i="4"/>
  <c r="G31" i="4" s="1"/>
  <c r="G30" i="4" s="1"/>
  <c r="I31" i="4"/>
  <c r="I30" i="4" s="1"/>
  <c r="H29" i="4"/>
  <c r="H26" i="4" s="1"/>
  <c r="G29" i="4"/>
  <c r="G28" i="4"/>
  <c r="G27" i="4"/>
  <c r="I26" i="4"/>
  <c r="G25" i="4"/>
  <c r="G24" i="4" s="1"/>
  <c r="I24" i="4"/>
  <c r="H24" i="4"/>
  <c r="G23" i="4"/>
  <c r="G22" i="4"/>
  <c r="I21" i="4"/>
  <c r="H21" i="4"/>
  <c r="H20" i="4"/>
  <c r="H19" i="4" s="1"/>
  <c r="G20" i="4"/>
  <c r="G19" i="4" s="1"/>
  <c r="I19" i="4"/>
  <c r="G18" i="4"/>
  <c r="G17" i="4" s="1"/>
  <c r="I17" i="4"/>
  <c r="H17" i="4"/>
  <c r="G15" i="4"/>
  <c r="G14" i="4" s="1"/>
  <c r="I14" i="4"/>
  <c r="H14" i="4"/>
  <c r="I12" i="4"/>
  <c r="H12" i="4"/>
  <c r="G12" i="4"/>
  <c r="H75" i="2"/>
  <c r="J60" i="2"/>
  <c r="I60" i="2"/>
  <c r="J45" i="2"/>
  <c r="H45" i="2"/>
  <c r="I45" i="2"/>
  <c r="J31" i="2"/>
  <c r="I31" i="2"/>
  <c r="H31" i="2"/>
  <c r="J26" i="2"/>
  <c r="I26" i="2"/>
  <c r="H26" i="2"/>
  <c r="E23" i="9"/>
  <c r="G22" i="9"/>
  <c r="G21" i="9" s="1"/>
  <c r="F22" i="9"/>
  <c r="F21" i="9" s="1"/>
  <c r="E22" i="9"/>
  <c r="E21" i="9" s="1"/>
  <c r="G448" i="6" l="1"/>
  <c r="G447" i="6" s="1"/>
  <c r="G446" i="6" s="1"/>
  <c r="H570" i="6"/>
  <c r="G570" i="6"/>
  <c r="G513" i="6"/>
  <c r="G512" i="6" s="1"/>
  <c r="H513" i="6"/>
  <c r="H512" i="6" s="1"/>
  <c r="I51" i="2"/>
  <c r="H51" i="2"/>
  <c r="J51" i="2"/>
  <c r="I11" i="2"/>
  <c r="F449" i="6"/>
  <c r="J11" i="2"/>
  <c r="H11" i="2"/>
  <c r="G216" i="6"/>
  <c r="H216" i="6"/>
  <c r="F8" i="6"/>
  <c r="F43" i="9"/>
  <c r="F42" i="9" s="1"/>
  <c r="G43" i="9"/>
  <c r="G42" i="9" s="1"/>
  <c r="F188" i="6"/>
  <c r="F181" i="6" s="1"/>
  <c r="H411" i="6"/>
  <c r="G411" i="6"/>
  <c r="G349" i="6"/>
  <c r="H181" i="6"/>
  <c r="H742" i="6" s="1"/>
  <c r="H349" i="6"/>
  <c r="F424" i="6"/>
  <c r="L14" i="3"/>
  <c r="K14" i="3"/>
  <c r="F376" i="6"/>
  <c r="G181" i="6"/>
  <c r="G742" i="6" s="1"/>
  <c r="F350" i="6"/>
  <c r="F335" i="6"/>
  <c r="F331" i="6" s="1"/>
  <c r="F392" i="6"/>
  <c r="E6" i="9"/>
  <c r="F6" i="9"/>
  <c r="F5" i="9" s="1"/>
  <c r="L11" i="3"/>
  <c r="G21" i="4"/>
  <c r="G11" i="4" s="1"/>
  <c r="I11" i="4"/>
  <c r="G26" i="4"/>
  <c r="F524" i="6"/>
  <c r="F514" i="6" s="1"/>
  <c r="H46" i="4"/>
  <c r="H33" i="4"/>
  <c r="G37" i="4"/>
  <c r="I33" i="4"/>
  <c r="H11" i="4"/>
  <c r="G34" i="4"/>
  <c r="F322" i="6"/>
  <c r="F217" i="6" s="1"/>
  <c r="F571" i="6"/>
  <c r="F687" i="6"/>
  <c r="F686" i="6" s="1"/>
  <c r="G47" i="4"/>
  <c r="G46" i="4"/>
  <c r="J11" i="3"/>
  <c r="K11" i="3"/>
  <c r="E8" i="9"/>
  <c r="F570" i="6" l="1"/>
  <c r="H569" i="6"/>
  <c r="H568" i="6" s="1"/>
  <c r="G569" i="6"/>
  <c r="G568" i="6" s="1"/>
  <c r="F742" i="6"/>
  <c r="F513" i="6"/>
  <c r="I10" i="2"/>
  <c r="J10" i="2"/>
  <c r="F448" i="6"/>
  <c r="F447" i="6" s="1"/>
  <c r="F446" i="6" s="1"/>
  <c r="H10" i="2"/>
  <c r="H88" i="2" s="1"/>
  <c r="F7" i="6"/>
  <c r="F685" i="6"/>
  <c r="F684" i="6" s="1"/>
  <c r="J14" i="3"/>
  <c r="G35" i="9"/>
  <c r="G34" i="9" s="1"/>
  <c r="G31" i="9"/>
  <c r="G30" i="9" s="1"/>
  <c r="F31" i="9"/>
  <c r="F30" i="9" s="1"/>
  <c r="E43" i="9"/>
  <c r="E42" i="9" s="1"/>
  <c r="F29" i="9"/>
  <c r="F28" i="9" s="1"/>
  <c r="J13" i="3"/>
  <c r="F411" i="6"/>
  <c r="F349" i="6"/>
  <c r="G29" i="9"/>
  <c r="G28" i="9" s="1"/>
  <c r="E5" i="9"/>
  <c r="I10" i="4"/>
  <c r="I51" i="4" s="1"/>
  <c r="H10" i="4"/>
  <c r="H51" i="4" s="1"/>
  <c r="E29" i="9"/>
  <c r="E28" i="9" s="1"/>
  <c r="G33" i="4"/>
  <c r="G10" i="4" s="1"/>
  <c r="G51" i="4" s="1"/>
  <c r="F741" i="6" l="1"/>
  <c r="F569" i="6"/>
  <c r="F568" i="6" s="1"/>
  <c r="F512" i="6"/>
  <c r="E35" i="9"/>
  <c r="F35" i="9"/>
  <c r="F34" i="9" s="1"/>
  <c r="F10" i="8"/>
  <c r="F13" i="8" s="1"/>
  <c r="L13" i="3"/>
  <c r="L12" i="3" s="1"/>
  <c r="J10" i="3"/>
  <c r="J12" i="3"/>
  <c r="E10" i="8"/>
  <c r="I88" i="2"/>
  <c r="K10" i="3"/>
  <c r="K9" i="3" s="1"/>
  <c r="J88" i="2"/>
  <c r="L10" i="3"/>
  <c r="L9" i="3" s="1"/>
  <c r="E31" i="9"/>
  <c r="E30" i="9" s="1"/>
  <c r="F216" i="6"/>
  <c r="F5" i="6" s="1"/>
  <c r="E15" i="8" l="1"/>
  <c r="F6" i="6"/>
  <c r="J9" i="3"/>
  <c r="F743" i="6"/>
  <c r="F14" i="8"/>
  <c r="F15" i="8"/>
  <c r="E14" i="8"/>
  <c r="E13" i="8"/>
  <c r="K13" i="3"/>
  <c r="K12" i="3" s="1"/>
  <c r="K15" i="3" s="1"/>
  <c r="L15" i="3"/>
  <c r="G10" i="8"/>
  <c r="G8" i="6"/>
  <c r="G741" i="6" s="1"/>
  <c r="G743" i="6" s="1"/>
  <c r="L24" i="3" l="1"/>
  <c r="L37" i="3" s="1"/>
  <c r="I284" i="4" s="1"/>
  <c r="I282" i="4" s="1"/>
  <c r="K24" i="3"/>
  <c r="J15" i="3"/>
  <c r="J24" i="3" s="1"/>
  <c r="J31" i="3" s="1"/>
  <c r="K29" i="3" s="1"/>
  <c r="G7" i="6"/>
  <c r="G5" i="6" s="1"/>
  <c r="K37" i="3"/>
  <c r="H284" i="4" s="1"/>
  <c r="H282" i="4" s="1"/>
  <c r="F12" i="8"/>
  <c r="F11" i="8" s="1"/>
  <c r="E12" i="8"/>
  <c r="E11" i="8" s="1"/>
  <c r="G14" i="8"/>
  <c r="G13" i="8"/>
  <c r="G15" i="8"/>
  <c r="H8" i="6"/>
  <c r="H741" i="6" s="1"/>
  <c r="H743" i="6" s="1"/>
  <c r="G6" i="6" l="1"/>
  <c r="J37" i="3"/>
  <c r="H7" i="6"/>
  <c r="H5" i="6" s="1"/>
  <c r="G12" i="8"/>
  <c r="G11" i="8" s="1"/>
  <c r="H6" i="6" l="1"/>
  <c r="K31" i="3"/>
  <c r="L29" i="3" s="1"/>
  <c r="L31" i="3" s="1"/>
  <c r="J39" i="3"/>
  <c r="K36" i="3" s="1"/>
  <c r="K39" i="3" s="1"/>
  <c r="L36" i="3" s="1"/>
  <c r="I281" i="4" s="1"/>
  <c r="I280" i="4" s="1"/>
  <c r="G284" i="4"/>
  <c r="G282" i="4" s="1"/>
  <c r="G281" i="4" s="1"/>
  <c r="G280" i="4" s="1"/>
  <c r="H281" i="4"/>
  <c r="H280" i="4" s="1"/>
  <c r="E33" i="9"/>
  <c r="E32" i="9" s="1"/>
  <c r="G33" i="9"/>
  <c r="G32" i="9" s="1"/>
  <c r="G27" i="9" s="1"/>
  <c r="F33" i="9"/>
  <c r="F32" i="9" s="1"/>
  <c r="F27" i="9" s="1"/>
  <c r="E41" i="9"/>
  <c r="E40" i="9" s="1"/>
  <c r="L39" i="3" l="1"/>
  <c r="G6" i="9" l="1"/>
  <c r="G5" i="9" s="1"/>
  <c r="H497" i="5"/>
  <c r="H607" i="5" s="1"/>
  <c r="H516" i="5" l="1"/>
  <c r="H8" i="5"/>
  <c r="H517" i="5" l="1"/>
  <c r="H553" i="5" s="1"/>
  <c r="E37" i="9"/>
  <c r="E36" i="9" s="1"/>
  <c r="E34" i="9" l="1"/>
  <c r="E27" i="9" s="1"/>
</calcChain>
</file>

<file path=xl/sharedStrings.xml><?xml version="1.0" encoding="utf-8"?>
<sst xmlns="http://schemas.openxmlformats.org/spreadsheetml/2006/main" count="2928" uniqueCount="721">
  <si>
    <t>I. OPĆI DIO</t>
  </si>
  <si>
    <t>A. RAČUN PRIHODA</t>
  </si>
  <si>
    <t xml:space="preserve"> PRIHODI POSLOVANJA</t>
  </si>
  <si>
    <t>Razred</t>
  </si>
  <si>
    <t xml:space="preserve">Skupina/podskupina/odjeljak </t>
  </si>
  <si>
    <t>Izvor</t>
  </si>
  <si>
    <t xml:space="preserve">Naziv </t>
  </si>
  <si>
    <t xml:space="preserve">Prihodi poslovanja </t>
  </si>
  <si>
    <t>Prihodi iz nadležnog proračuna i od HZZO-a temeljem ugovornih obveza</t>
  </si>
  <si>
    <t>671</t>
  </si>
  <si>
    <t>Prihodi iz nadležnog proračuna za financiranje redovne djelatnosti proračunskih korisnika</t>
  </si>
  <si>
    <t>6711</t>
  </si>
  <si>
    <t>Prihodi iz nadležnog proračuna za financiranje rashoda poslovanja</t>
  </si>
  <si>
    <t>6712</t>
  </si>
  <si>
    <t>Prihodi iz nadležnog proračuna za nabavu nefinancijske imovine</t>
  </si>
  <si>
    <t>Opći prihodi i primici</t>
  </si>
  <si>
    <t>Pomoći iz inozemstva i od subjekata unutar općeg proračuna</t>
  </si>
  <si>
    <t>633</t>
  </si>
  <si>
    <t>Pomoći proračunu iz drugih proračuna</t>
  </si>
  <si>
    <t>6331</t>
  </si>
  <si>
    <t>Tekuće pomoći proračunu iz drugih proračuna</t>
  </si>
  <si>
    <t>6332</t>
  </si>
  <si>
    <t>Kapitalne pomoći proračunu iz drugih proračuna</t>
  </si>
  <si>
    <t>634</t>
  </si>
  <si>
    <t>Pomoći od izvanproračunskih korisnika</t>
  </si>
  <si>
    <t>6341</t>
  </si>
  <si>
    <t>Tekuće pomoći od HZZ-a, HZZO-a</t>
  </si>
  <si>
    <t>636</t>
  </si>
  <si>
    <t>Pomoći proračunskim korisnicima iz proračuna koji im nije nadležan</t>
  </si>
  <si>
    <t>6361</t>
  </si>
  <si>
    <t>Tekuće pomoći iz državnog proračuna proračunskim korisnicma JLP(R)S</t>
  </si>
  <si>
    <t>638</t>
  </si>
  <si>
    <t>Pomoć temeljem prijenosa EU sredstava</t>
  </si>
  <si>
    <t>6381</t>
  </si>
  <si>
    <t>Tekuće pomoći temeljem prijenosa EU sredstava</t>
  </si>
  <si>
    <t>6382</t>
  </si>
  <si>
    <t>Kapitalna pomoć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</si>
  <si>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</si>
  <si>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</si>
  <si>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</si>
  <si>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</si>
  <si>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Pomoći</t>
  </si>
  <si>
    <t>Prihodi od imovine</t>
  </si>
  <si>
    <t>Prihodi od financijske imovine</t>
  </si>
  <si>
    <t>Ostali prihodi od financijske imovine</t>
  </si>
  <si>
    <t>Prihodi od upravnih i administrativnih pristojbi, pristojbi po posebnim propisima i nakanda</t>
  </si>
  <si>
    <t>Prihodi po posebnim propisima</t>
  </si>
  <si>
    <t>Ostali nespomenuti prihodi (participacija)</t>
  </si>
  <si>
    <t>673</t>
  </si>
  <si>
    <t>Prihodi od HZZO-a temeljem ugovora</t>
  </si>
  <si>
    <t>6731</t>
  </si>
  <si>
    <t>68</t>
  </si>
  <si>
    <t>Kazne, upravne mjere i ostali prihodi</t>
  </si>
  <si>
    <t>683</t>
  </si>
  <si>
    <t>Ostali prihodi</t>
  </si>
  <si>
    <t>6831</t>
  </si>
  <si>
    <t xml:space="preserve">Ostali prihodi za posebne namjene </t>
  </si>
  <si>
    <t>Kamate na oročena srredstva i depozite po viđenju</t>
  </si>
  <si>
    <t>Ostali prihodi od nefinancijske imovine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</si>
  <si>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</si>
  <si>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</si>
  <si>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</si>
  <si>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</si>
  <si>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 od prodaje proizvoda i usluga</t>
  </si>
  <si>
    <t>6615</t>
  </si>
  <si>
    <t>Prihodi od pruženih usluga</t>
  </si>
  <si>
    <t>31</t>
  </si>
  <si>
    <t xml:space="preserve"> Vlastiti prihodi </t>
  </si>
  <si>
    <t>Donacije od pravnih i fizičkih osoba izvan općeg proračuna i povrat donacija po protestiranim jamstvima</t>
  </si>
  <si>
    <t>Tekuće donacije</t>
  </si>
  <si>
    <t>6632</t>
  </si>
  <si>
    <t>Kapitalne donacije</t>
  </si>
  <si>
    <t>61</t>
  </si>
  <si>
    <t xml:space="preserve">Donacije </t>
  </si>
  <si>
    <t xml:space="preserve">Ostali nespomenuti prihodi </t>
  </si>
  <si>
    <t>Prihodi od  prodaje nefinancijske imovine</t>
  </si>
  <si>
    <t>Prihodi od prodaje proizvedene dugotrajne imovine</t>
  </si>
  <si>
    <t>Prihodi od prodaje građevinskih objekata</t>
  </si>
  <si>
    <t>Stambeni objekti</t>
  </si>
  <si>
    <t>Prihodi od prodaje prijevoznih sredstava</t>
  </si>
  <si>
    <t>Prijevozna sredstva u cestovnom prometu</t>
  </si>
  <si>
    <t>Ukupni prihodi</t>
  </si>
  <si>
    <t>RASHODI POSLOVANJA</t>
  </si>
  <si>
    <t>3</t>
  </si>
  <si>
    <t>Rashodi poslovanja</t>
  </si>
  <si>
    <t>Rashodi za zaposlene</t>
  </si>
  <si>
    <t>Plaće</t>
  </si>
  <si>
    <t>Plaće za redovan rad</t>
  </si>
  <si>
    <t>3112</t>
  </si>
  <si>
    <t>Plaće u naravi</t>
  </si>
  <si>
    <t>3113</t>
  </si>
  <si>
    <t>Plaće za prekovremeni rad</t>
  </si>
  <si>
    <t>3114</t>
  </si>
  <si>
    <t>Plaća za posebne uvjete rada</t>
  </si>
  <si>
    <t>312</t>
  </si>
  <si>
    <t>Ostali rashodi za zaposlene</t>
  </si>
  <si>
    <t>3121</t>
  </si>
  <si>
    <t>Doprinosi na plaće</t>
  </si>
  <si>
    <t>Doprinosi za obvezno zdravstveno osiguranje</t>
  </si>
  <si>
    <t>Materijalni rashodi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</si>
  <si>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</si>
  <si>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</si>
  <si>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</si>
  <si>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</si>
  <si>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</si>
  <si>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</si>
  <si>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zaposlenih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</si>
  <si>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</si>
  <si>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</si>
  <si>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</si>
  <si>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</si>
  <si>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</si>
  <si>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</si>
  <si>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</si>
  <si>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</si>
  <si>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</si>
  <si>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</si>
  <si>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</si>
  <si>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</si>
  <si>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</si>
  <si>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Sitan inventar i autogume</t>
  </si>
  <si>
    <t>3227</t>
  </si>
  <si>
    <t>Službena radna i zaštitna odjeća</t>
  </si>
  <si>
    <t>323</t>
  </si>
  <si>
    <t>Rashodi za usluge</t>
  </si>
  <si>
    <t>3231</t>
  </si>
  <si>
    <t>Usluge telefona i pošte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</si>
  <si>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</si>
  <si>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</si>
  <si>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</si>
  <si>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</si>
  <si>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</si>
  <si>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</si>
  <si>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Zakupnine i najamnine</t>
  </si>
  <si>
    <t>Zdravstvene i veterinarske usluge</t>
  </si>
  <si>
    <t>Intelektualne usluge</t>
  </si>
  <si>
    <t>3238</t>
  </si>
  <si>
    <t>Računalne usluge</t>
  </si>
  <si>
    <t>3239</t>
  </si>
  <si>
    <t>Ostale usluge</t>
  </si>
  <si>
    <t xml:space="preserve">Naknade troškova osobama izvan radnog odnosa </t>
  </si>
  <si>
    <t>Ostali nespomenuti rashodi poslovanja</t>
  </si>
  <si>
    <t>3291</t>
  </si>
  <si>
    <t>Naknade za rad predstavničkih i izvršnih tijela, povjerenstava i slično</t>
  </si>
  <si>
    <t>Premija osiguranja</t>
  </si>
  <si>
    <t>Reprezentacija</t>
  </si>
  <si>
    <t>Članarine i norme</t>
  </si>
  <si>
    <t>Pristojbe i naknade</t>
  </si>
  <si>
    <t>Troškovi sudskih postupaka</t>
  </si>
  <si>
    <t>3299</t>
  </si>
  <si>
    <t>Financijski rashodi</t>
  </si>
  <si>
    <t>Ostali financijski rashodi</t>
  </si>
  <si>
    <t>3431</t>
  </si>
  <si>
    <t>Bankarske usluge i usluge platnog prometa</t>
  </si>
  <si>
    <t>Zatezne kamate</t>
  </si>
  <si>
    <t>Ostali nespomenuti financijski rashodi</t>
  </si>
  <si>
    <t>Pomoći dane u iznozemstvo i unutar općeg proračuna</t>
  </si>
  <si>
    <t>Tekući prijenosi između proračunksih korisnika istog proračuna</t>
  </si>
  <si>
    <t>Kapitalni prijenosi između proračunksih korisnika istog proračuna</t>
  </si>
  <si>
    <t>Naknade građanima i kućanstvima na temelju osiguranja i dr nak</t>
  </si>
  <si>
    <t>Ostale naknade građanima i kućanstvima iz proračuna</t>
  </si>
  <si>
    <t>Naknade građanima i kućanstvima u novcu</t>
  </si>
  <si>
    <t>38</t>
  </si>
  <si>
    <t>381</t>
  </si>
  <si>
    <t>Tekuće donacije u novcu</t>
  </si>
  <si>
    <t>3811</t>
  </si>
  <si>
    <t>Kazne, penali i naknade štete</t>
  </si>
  <si>
    <t>Naknade štete pravnim i fizičkim osobama</t>
  </si>
  <si>
    <t>Naknada šteta zaposlenicima</t>
  </si>
  <si>
    <t>Ugovorne kazne i ostale naknade štete</t>
  </si>
  <si>
    <t>Ostale kazne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</si>
  <si>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</si>
  <si>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</si>
  <si>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</si>
  <si>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</si>
  <si>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</si>
  <si>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</si>
  <si>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Građevinsko zemljište</t>
  </si>
  <si>
    <t>Nematerijalna imovina - licence</t>
  </si>
  <si>
    <t>Licence</t>
  </si>
  <si>
    <t>Rashodi za nabavu proizvedene dug. imovine</t>
  </si>
  <si>
    <t>Postrojenja i oprema</t>
  </si>
  <si>
    <t>4221</t>
  </si>
  <si>
    <t>Uredska oprema i namještaj</t>
  </si>
  <si>
    <t>4222</t>
  </si>
  <si>
    <t>Komunikacijska oprema</t>
  </si>
  <si>
    <t>Oprema za održavanje iz zaštitu</t>
  </si>
  <si>
    <t>Medicinska i laboratorijska oprema</t>
  </si>
  <si>
    <t>Instrumenti, uređaji i strojevi</t>
  </si>
  <si>
    <t>Uređaji, strojevi i oprema za ostale namjene</t>
  </si>
  <si>
    <t>Prijevozna sredstva</t>
  </si>
  <si>
    <t xml:space="preserve">Nematerijalna proizvedena imovina </t>
  </si>
  <si>
    <t>Ulaganja u računalne programe</t>
  </si>
  <si>
    <t>45</t>
  </si>
  <si>
    <t>Rashodi za dodatna ulaganja na 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</si>
  <si>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</si>
  <si>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</si>
  <si>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</si>
  <si>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</si>
  <si>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</si>
  <si>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</si>
  <si>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Dodatna ulaganja na potrojenjima i opremi</t>
  </si>
  <si>
    <t>Negativne tečajne razlike</t>
  </si>
  <si>
    <t>421</t>
  </si>
  <si>
    <t>Građevinski objekti</t>
  </si>
  <si>
    <t>4212</t>
  </si>
  <si>
    <t>Poslovni objekti</t>
  </si>
  <si>
    <t xml:space="preserve">Vlastiti prihodi </t>
  </si>
  <si>
    <t>Plaće za posebne uvjete rada</t>
  </si>
  <si>
    <t>313</t>
  </si>
  <si>
    <t>3132</t>
  </si>
  <si>
    <t>Doprinosi za obvezno zdravstveno osiguranje zaštite zdr na radu</t>
  </si>
  <si>
    <t>321</t>
  </si>
  <si>
    <t>3235</t>
  </si>
  <si>
    <t>3236</t>
  </si>
  <si>
    <t>3237</t>
  </si>
  <si>
    <t>329</t>
  </si>
  <si>
    <t>Ostali rashodi poslovanja</t>
  </si>
  <si>
    <t>3293</t>
  </si>
  <si>
    <t>3295</t>
  </si>
  <si>
    <t>422</t>
  </si>
  <si>
    <t xml:space="preserve">Pomoći </t>
  </si>
  <si>
    <t>3131</t>
  </si>
  <si>
    <t>Doprinosi za mirovinsko osiguranje</t>
  </si>
  <si>
    <t>Pomoći EU</t>
  </si>
  <si>
    <t>4223</t>
  </si>
  <si>
    <t>4224</t>
  </si>
  <si>
    <t>4225</t>
  </si>
  <si>
    <t>3292</t>
  </si>
  <si>
    <t>426</t>
  </si>
  <si>
    <t>4262</t>
  </si>
  <si>
    <t>71</t>
  </si>
  <si>
    <t>Prihodi od nefinancijske imovine i nadoknade šteta s osnova osiguranja</t>
  </si>
  <si>
    <t>Ukupni rashodi</t>
  </si>
  <si>
    <t xml:space="preserve">PRIHODI PREMA EKONOMSKOJ KLASIFIKACIJI </t>
  </si>
  <si>
    <t>SAVJET: PRVO POPUNITE PRETHODNI LIST</t>
  </si>
  <si>
    <t>Pomoći od međunaodnih organizacija te institucija i tijela EU</t>
  </si>
  <si>
    <t>Kapitalne pomoći od instucija i tijela EU</t>
  </si>
  <si>
    <t>Pomoć proračunu iz drugih proračuna</t>
  </si>
  <si>
    <t>OVA TABLICA AUTOMATSKI POVLAČI IZNOSE IZ PRETHODNOG LISTA (PRIHODI PO EK KLAS I IZVORIMA)</t>
  </si>
  <si>
    <t>Tekuća pomoć proračunu iz drugih proračuna</t>
  </si>
  <si>
    <t>UKOLIKO STE U PRVOM LISTU DODAVALI RAČUNE MORATI ĆETE I U OVOME LISTU NAPRAVITI IZMJENE U FORMULI RAČUNA NA KOJI SE IZMJENA ODNOSI</t>
  </si>
  <si>
    <t>Kapitalna pomoć proračunu iz drugih proračuna</t>
  </si>
  <si>
    <t xml:space="preserve">Tekuće pomoći od izvanproračunskih korisnika </t>
  </si>
  <si>
    <t>Pomoć proračunskim korisnicima iz prorač.koji im nije nadležan</t>
  </si>
  <si>
    <t>Tekuće pomoći iz državnog prorač. prorač.korisnicima JLP(R)S</t>
  </si>
  <si>
    <t>Pomoć temeljem prijenosa EU</t>
  </si>
  <si>
    <t>kapitalna pomoć temeljem prijenosa EU</t>
  </si>
  <si>
    <t>Prijenosi između proračunskih korisnika</t>
  </si>
  <si>
    <t>Tekući prijenosi između proračunskih korisnika</t>
  </si>
  <si>
    <t>Kamate na oročena sredstva i depozite po viđenju</t>
  </si>
  <si>
    <t>Ostali prihode o financijske imovine</t>
  </si>
  <si>
    <t>Prihodi od prodaje i donacija</t>
  </si>
  <si>
    <t>Prihodi od prodaje roba i pruženih usluga (vlastiti prihodi)</t>
  </si>
  <si>
    <t>Prihodi od prodaje proizvoda i robe</t>
  </si>
  <si>
    <t>Donacije od pravnih i fizičkih osoba izvan proračuna</t>
  </si>
  <si>
    <t>Prihodi iz nadležnog proračuna i HZZOa</t>
  </si>
  <si>
    <t>Prihodi od HZZO-a</t>
  </si>
  <si>
    <t xml:space="preserve">     UKUPNO PRIHODI I PRIMICI:</t>
  </si>
  <si>
    <t>A) SAŽETAK  RAČUNA PRIHODA I RASHODA</t>
  </si>
  <si>
    <t>EUR</t>
  </si>
  <si>
    <t>BROJČANA OZNAKA I NAZIV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</si>
  <si>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</si>
  <si>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</si>
  <si>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</si>
  <si>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</si>
  <si>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</si>
  <si>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</si>
  <si>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</si>
  <si>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</si>
  <si>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</si>
  <si>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</si>
  <si>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</si>
  <si>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</si>
  <si>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C) PRENESENI VIŠAK ILI PRENESENI MANJAK</t>
  </si>
  <si>
    <t>PRENESENI VIŠAK / MANJAK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</si>
  <si>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</si>
  <si>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</si>
  <si>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</si>
  <si>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PRIJENOS VIŠKA / MANJKA IZ PRETHODNE(IH) GODINE</t>
  </si>
  <si>
    <t>VIŠAK / MANJAK IZ PRETHODNE(IH) GODINE KOJI ĆE SE RASPOREDITI / POKRITI</t>
  </si>
  <si>
    <t>A. RAČUN PRIHODA I RASHODA</t>
  </si>
  <si>
    <t>Izvršenje prethodne godine I.-VI. 2022.</t>
  </si>
  <si>
    <t>REBALANS 2023.</t>
  </si>
  <si>
    <t xml:space="preserve">Izvršenje tekuće godine I.-VI. 2023 </t>
  </si>
  <si>
    <t xml:space="preserve"> RASHODI POSLOVANJA</t>
  </si>
  <si>
    <t>Plaće (Bruto)</t>
  </si>
  <si>
    <t xml:space="preserve">Doprinosi na plaće </t>
  </si>
  <si>
    <t xml:space="preserve">Doprinosi za obavezno zdravst.osig. </t>
  </si>
  <si>
    <t>Naknade za prijevoz</t>
  </si>
  <si>
    <t>Materijal i dijelovi za tekuće i invest. održavanja</t>
  </si>
  <si>
    <t>Usluge telefona, pošte</t>
  </si>
  <si>
    <t>Naknade osobama izvan radnog odnosa</t>
  </si>
  <si>
    <t>Naknade tr.osobama izvan radnog odnosa</t>
  </si>
  <si>
    <t>Naknade za rad izvršnih tijela</t>
  </si>
  <si>
    <t>Financijski  rashodi</t>
  </si>
  <si>
    <t>Bankarske i usluge platnog prometa</t>
  </si>
  <si>
    <t xml:space="preserve">Ostali nespomenuti financijski rashodi </t>
  </si>
  <si>
    <t>Pomoći dane u inozemstvo i unutar općeg proračuna</t>
  </si>
  <si>
    <t>Tekući prijenosi između proračunskog korisnika istog proračuna</t>
  </si>
  <si>
    <t>Kapitalni prijenosi između proračunskih korisnika istog proračuna</t>
  </si>
  <si>
    <t xml:space="preserve">Ostali rashodi </t>
  </si>
  <si>
    <t>Naknada štete pravnim i fizičkim osobama</t>
  </si>
  <si>
    <t>Naknade šteta zaposlenicima</t>
  </si>
  <si>
    <t>Ostali izvanredni rashodi</t>
  </si>
  <si>
    <t>Rashodi za nabavu neproizvedene dugotrajne  imovine</t>
  </si>
  <si>
    <t>Rashodi za nabavu proizvedene dugotrajne  imovine</t>
  </si>
  <si>
    <t>Oprema za održavanje i zaštitu</t>
  </si>
  <si>
    <t>Nematerijalna proizvedena imovina</t>
  </si>
  <si>
    <t>UKUPNI RASHODI I IZDACI:</t>
  </si>
  <si>
    <t xml:space="preserve">KORIŠTENJE DEC-a SREDSTAVA ŽUPANIJE </t>
  </si>
  <si>
    <t>Ostale nespomenute usluge</t>
  </si>
  <si>
    <t>II. POSEBNI DIO</t>
  </si>
  <si>
    <t xml:space="preserve"> Rashodi i izdaci po izvorima financiranja i ekonomskoj klasifikaciji raspoređenih u programe, aktivnosti i projekte</t>
  </si>
  <si>
    <t>Šifra</t>
  </si>
  <si>
    <t>Naziv</t>
  </si>
  <si>
    <t>PROGRAM</t>
  </si>
  <si>
    <t>RAD I RAZVOJ USTANOVE</t>
  </si>
  <si>
    <t>AKTIVNOST</t>
  </si>
  <si>
    <t xml:space="preserve">Redovna djelatnost </t>
  </si>
  <si>
    <t>3133</t>
  </si>
  <si>
    <t>Prijenosi između prorač kor istog proračuna</t>
  </si>
  <si>
    <t>Kapitalni prijenosi između proračunskih korinsika istog prorač</t>
  </si>
  <si>
    <t>Naknade građanima i kućanstvima na temelju osig i dr nak</t>
  </si>
  <si>
    <t>Naknade građanima i kućanstvima iz proračuna</t>
  </si>
  <si>
    <t>Naknade šteta pravnim i fizičkim osobama</t>
  </si>
  <si>
    <t>Materijal i dijelovi za tek i invest održavanje</t>
  </si>
  <si>
    <t>Zaštitna odjeća i obuća</t>
  </si>
  <si>
    <t>3294</t>
  </si>
  <si>
    <t>3296</t>
  </si>
  <si>
    <t>34</t>
  </si>
  <si>
    <t>343</t>
  </si>
  <si>
    <t>3432</t>
  </si>
  <si>
    <t>3433</t>
  </si>
  <si>
    <t>3434</t>
  </si>
  <si>
    <t>37</t>
  </si>
  <si>
    <t>372</t>
  </si>
  <si>
    <t>3721</t>
  </si>
  <si>
    <t>383</t>
  </si>
  <si>
    <t>3834</t>
  </si>
  <si>
    <t>3835</t>
  </si>
  <si>
    <t>384</t>
  </si>
  <si>
    <t>Rashodi iz proteklih godina</t>
  </si>
  <si>
    <t>3842</t>
  </si>
  <si>
    <t>Ostali rashodi</t>
  </si>
  <si>
    <t>4</t>
  </si>
  <si>
    <t>412</t>
  </si>
  <si>
    <t>4123</t>
  </si>
  <si>
    <t>42</t>
  </si>
  <si>
    <t>4227</t>
  </si>
  <si>
    <t>423</t>
  </si>
  <si>
    <t>4231</t>
  </si>
  <si>
    <t>Ulaganja u računalna programe</t>
  </si>
  <si>
    <t>3833</t>
  </si>
  <si>
    <t>Naknade štete zaposlenicima</t>
  </si>
  <si>
    <t>11</t>
  </si>
  <si>
    <t>Opći prihod i primitak</t>
  </si>
  <si>
    <t>Rashodi za nabavu proizvedene dugotrajne imovine</t>
  </si>
  <si>
    <t>32</t>
  </si>
  <si>
    <t>Redovan program financiranja zdravstvenih ustanova iznad minimalnih standarda (dodatna zdravstvena skrb braniteljske populacije-pregled usne šupljine)</t>
  </si>
  <si>
    <t>36</t>
  </si>
  <si>
    <t>369</t>
  </si>
  <si>
    <t>3691</t>
  </si>
  <si>
    <t>Tekući prijenosi između proračunskih korisnika istog prorač.</t>
  </si>
  <si>
    <t>Sveukupno (kl.3 i kl.4)</t>
  </si>
  <si>
    <t xml:space="preserve">A. RAČUN PRIHODA I RASHODA </t>
  </si>
  <si>
    <t>IZVJEŠTAJ O RASHODIMA PREMA FUNKCIJSKOJ KLASIFIKACIJI</t>
  </si>
  <si>
    <t xml:space="preserve">UKUPNO RASHODI </t>
  </si>
  <si>
    <t>07 Zdravstvo</t>
  </si>
  <si>
    <t>072 Služba za vanjske pacijente</t>
  </si>
  <si>
    <t>0721 Opće medicinske usluge</t>
  </si>
  <si>
    <t>0722 Specijalističke med. usluge</t>
  </si>
  <si>
    <t>0723 Zubarske usluge</t>
  </si>
  <si>
    <t>073 Bolničke službe</t>
  </si>
  <si>
    <t>0731 Usluge općih bolnica</t>
  </si>
  <si>
    <t>074 Službe javnog zdravstva</t>
  </si>
  <si>
    <t xml:space="preserve">RASHODI PREMA EKONOMSKOJ KLASIFIKACIJI </t>
  </si>
  <si>
    <t>PRIHODI PREMA EKONOMSKOJ KLASIFIKACIJI I IZVORIMA FINANCIRANJA</t>
  </si>
  <si>
    <t>RASHODI PREMA EKONOMSKOJ KLASIFIKACIJI I IZVORIMA FINANCIRANJA</t>
  </si>
  <si>
    <t>PRIHODI I RASHODI PREMA IZVORIMA FINANCIRANJA</t>
  </si>
  <si>
    <t xml:space="preserve">UKUPNO PRIHODI </t>
  </si>
  <si>
    <t>1 Opći prihodi i primici</t>
  </si>
  <si>
    <t xml:space="preserve">   11 Opći prihodi i primici</t>
  </si>
  <si>
    <t xml:space="preserve">   31 Vlastiti prihodi</t>
  </si>
  <si>
    <t xml:space="preserve">   43 Prihodi za posebne namjene (HZZO)</t>
  </si>
  <si>
    <t xml:space="preserve">   43 Prihodi za posebne namjene (dopunsko osiguranje, participacija,…)</t>
  </si>
  <si>
    <t xml:space="preserve">   43 Ostali prihodi</t>
  </si>
  <si>
    <t xml:space="preserve">   52 Ostale pomoći</t>
  </si>
  <si>
    <t xml:space="preserve">   61 Donacije</t>
  </si>
  <si>
    <t xml:space="preserve">   71 Prihodi od nefinancijske imovine i naknade štete s naslova osiguranja</t>
  </si>
  <si>
    <t xml:space="preserve">   43 Prihodi za posebne namjene</t>
  </si>
  <si>
    <t>Vlastiti izvori</t>
  </si>
  <si>
    <t>Višak/manjak prihoda</t>
  </si>
  <si>
    <t>Višak prihoda</t>
  </si>
  <si>
    <t>Vlastiti prihodi-višak</t>
  </si>
  <si>
    <t>Prihodi za posebne namjene-višak</t>
  </si>
  <si>
    <t>Plaće po sudskim presudama</t>
  </si>
  <si>
    <t>Ostali nenavedeni rashodi za zaposlene</t>
  </si>
  <si>
    <t>Ostali rashodi za zaposlene-nagrade</t>
  </si>
  <si>
    <t>Otpremnine</t>
  </si>
  <si>
    <t>Darovi</t>
  </si>
  <si>
    <t>Naknade za bolest, invalidnost i smrt</t>
  </si>
  <si>
    <t>Regres za godišnji odmor</t>
  </si>
  <si>
    <t>Dnevnice za službeni put u zemlji</t>
  </si>
  <si>
    <t>Naknade za prijevoz, odvojeni život</t>
  </si>
  <si>
    <t>Naknade za smještaj na službenom putu u zemlji</t>
  </si>
  <si>
    <t>Naknade za prijevoz na službenom putu u zemlji</t>
  </si>
  <si>
    <t>Seminari, savjetovanja i simpoziji</t>
  </si>
  <si>
    <t>Tečajevi i stručni ispiti</t>
  </si>
  <si>
    <t>Naknada za korištenje privatnog automobila u službene svrhe</t>
  </si>
  <si>
    <t>Uredski materijal</t>
  </si>
  <si>
    <t>Literatura</t>
  </si>
  <si>
    <t>Materijal i sredstva za čišćenje i održavanje</t>
  </si>
  <si>
    <t>Službena, radna i zaštitna odjeća</t>
  </si>
  <si>
    <t>Ostali materijal za potrebe redovnog poslovanja</t>
  </si>
  <si>
    <t>Potrošni medicinski materijal</t>
  </si>
  <si>
    <t>Lijekovi</t>
  </si>
  <si>
    <t>Ostali materijal i sirovine</t>
  </si>
  <si>
    <t>Motorni benzin i dizel gorivo</t>
  </si>
  <si>
    <t>Električna energija</t>
  </si>
  <si>
    <t>Topla voda</t>
  </si>
  <si>
    <t>Plin</t>
  </si>
  <si>
    <t>Materijal i dijelovi za tekuće i invest. održavanje građevinskih objekata</t>
  </si>
  <si>
    <t>Materijal i dijelovi za tekuće i invest. održavanje transportnih sredstava</t>
  </si>
  <si>
    <t>Materijal i dijelovi za tekuće i invest. održavanje postrojenja i opreme</t>
  </si>
  <si>
    <t>Ostali materijal i dijelovi za tekuće i invest. održavanje</t>
  </si>
  <si>
    <t>Usluge telefona, telefaksa</t>
  </si>
  <si>
    <t>Poštarina</t>
  </si>
  <si>
    <t>Usluge tekućeg i investicijskog održavanja prijevoznih sredstava</t>
  </si>
  <si>
    <t>Usluge tekućeg i investicijskog održavanja građevinskih objekata</t>
  </si>
  <si>
    <t>Usluge tekućeg i investicijskog održavanja postrojenja i opreme</t>
  </si>
  <si>
    <t>Ostale usluge promidžbe i informiranja</t>
  </si>
  <si>
    <t>Opskrba vodom</t>
  </si>
  <si>
    <t>Iznošenje i odvoz smeća</t>
  </si>
  <si>
    <t>Deratizacija i dezinsekcija</t>
  </si>
  <si>
    <t>Ostale komunalne usluge</t>
  </si>
  <si>
    <t>Ostale zakupnine i najamnine</t>
  </si>
  <si>
    <t>Ostale zdravstvene i veterinarske usluge</t>
  </si>
  <si>
    <t>Ugovori o djelu</t>
  </si>
  <si>
    <t>Usluge odvjetnika i pravnog savjetovanja</t>
  </si>
  <si>
    <t>Ostale računalne usluge</t>
  </si>
  <si>
    <t>Usluge pri registraciji prijevoznih sredstava</t>
  </si>
  <si>
    <t>Usluge čišćenja, pranja i slično</t>
  </si>
  <si>
    <t>Premije osiguranja zaposlenih</t>
  </si>
  <si>
    <t>Premije osiguranja</t>
  </si>
  <si>
    <t>Premije osiguranja ostale imovine</t>
  </si>
  <si>
    <t>Premije osiguranja prijevoznih sredstava</t>
  </si>
  <si>
    <t>Tuzemne članarine</t>
  </si>
  <si>
    <t>Ostale pristojbe i naknade</t>
  </si>
  <si>
    <t>Sudske pristojbe</t>
  </si>
  <si>
    <t>Javnobilježničke pristojbe</t>
  </si>
  <si>
    <t>Rashodi protokola (vijenci, cvijeće, svijeće i slično)</t>
  </si>
  <si>
    <t>Naknade ostalih troškova</t>
  </si>
  <si>
    <t>Usluge platnog prometa</t>
  </si>
  <si>
    <t>Zatezne kamate na poreze</t>
  </si>
  <si>
    <t>Zatezne kamate za doprinose</t>
  </si>
  <si>
    <t>Zatezne kamate iz poslovnih odnosa</t>
  </si>
  <si>
    <t>Ostale zatezne kamate</t>
  </si>
  <si>
    <t>Pomoći obiteljima i kućanstvima</t>
  </si>
  <si>
    <t>Stipendije i školarine</t>
  </si>
  <si>
    <t>Računala i računalna oprema</t>
  </si>
  <si>
    <t>Uredski namještaj</t>
  </si>
  <si>
    <t>Ostala uredska oprema</t>
  </si>
  <si>
    <t>Oprema za održavanje prostorija</t>
  </si>
  <si>
    <t>Oprema za grijanje, ventilaciju i hlađenje</t>
  </si>
  <si>
    <t>Medicinska oprema</t>
  </si>
  <si>
    <t>Laboratorijska oprema</t>
  </si>
  <si>
    <t>Osobni automobili</t>
  </si>
  <si>
    <t>Sufinanciranje cijene usluge, participacija</t>
  </si>
  <si>
    <t>Prihodi od osiguranja i refundacije štete</t>
  </si>
  <si>
    <t>Refundacija plaća specijalizanata</t>
  </si>
  <si>
    <t>67111</t>
  </si>
  <si>
    <t>67121</t>
  </si>
  <si>
    <t>63414</t>
  </si>
  <si>
    <t>63612</t>
  </si>
  <si>
    <t>67311</t>
  </si>
  <si>
    <t>68311</t>
  </si>
  <si>
    <t>66151</t>
  </si>
  <si>
    <t>66313</t>
  </si>
  <si>
    <t>6631</t>
  </si>
  <si>
    <t>31111</t>
  </si>
  <si>
    <t>31113</t>
  </si>
  <si>
    <t>31131</t>
  </si>
  <si>
    <t>31141</t>
  </si>
  <si>
    <t>31212</t>
  </si>
  <si>
    <t>31213</t>
  </si>
  <si>
    <t>31214</t>
  </si>
  <si>
    <t>31215</t>
  </si>
  <si>
    <t>31216</t>
  </si>
  <si>
    <t>31219</t>
  </si>
  <si>
    <t>31321</t>
  </si>
  <si>
    <t>32121</t>
  </si>
  <si>
    <t>32141</t>
  </si>
  <si>
    <t>32221</t>
  </si>
  <si>
    <t>32226</t>
  </si>
  <si>
    <t>32229</t>
  </si>
  <si>
    <t>32231</t>
  </si>
  <si>
    <t>32232</t>
  </si>
  <si>
    <t>32233</t>
  </si>
  <si>
    <t>32234</t>
  </si>
  <si>
    <t>32251</t>
  </si>
  <si>
    <t>32271</t>
  </si>
  <si>
    <t>32311</t>
  </si>
  <si>
    <t>32313</t>
  </si>
  <si>
    <t>32339</t>
  </si>
  <si>
    <t>Ostale intelektualne usluge</t>
  </si>
  <si>
    <t>32412</t>
  </si>
  <si>
    <t>Pomoći obitelji i kućanstvima</t>
  </si>
  <si>
    <t>41112</t>
  </si>
  <si>
    <t>45111</t>
  </si>
  <si>
    <t>32115</t>
  </si>
  <si>
    <t>32132</t>
  </si>
  <si>
    <t>32211</t>
  </si>
  <si>
    <t>32369</t>
  </si>
  <si>
    <t>32372</t>
  </si>
  <si>
    <t>32399</t>
  </si>
  <si>
    <t>32921</t>
  </si>
  <si>
    <t>Premija osiguranja prijevoznih sredstava</t>
  </si>
  <si>
    <t>42241</t>
  </si>
  <si>
    <t>32389</t>
  </si>
  <si>
    <t>3111</t>
  </si>
  <si>
    <t>32111</t>
  </si>
  <si>
    <t>42212</t>
  </si>
  <si>
    <t>42231</t>
  </si>
  <si>
    <t>32321</t>
  </si>
  <si>
    <t>32322</t>
  </si>
  <si>
    <t>32323</t>
  </si>
  <si>
    <t>42211</t>
  </si>
  <si>
    <t>32113</t>
  </si>
  <si>
    <t>Naknada za korištenje privatnog autoobila u službene svrhe</t>
  </si>
  <si>
    <t>32131</t>
  </si>
  <si>
    <t>32212</t>
  </si>
  <si>
    <t>32214</t>
  </si>
  <si>
    <t>32215</t>
  </si>
  <si>
    <t>32219</t>
  </si>
  <si>
    <t>Ostale sirovine</t>
  </si>
  <si>
    <t>32241</t>
  </si>
  <si>
    <t>32242</t>
  </si>
  <si>
    <t>32243</t>
  </si>
  <si>
    <t>32244</t>
  </si>
  <si>
    <t>32341</t>
  </si>
  <si>
    <t>32342</t>
  </si>
  <si>
    <t>32343</t>
  </si>
  <si>
    <t>Usluge odvjetnika i pravnog savjetnika</t>
  </si>
  <si>
    <t>Tuzemna članarine</t>
  </si>
  <si>
    <t>42219</t>
  </si>
  <si>
    <t xml:space="preserve">Materijal i dijelovi za tekuće i investicijsko održavanje </t>
  </si>
  <si>
    <t>Materijal i dijelovi za tekuće i investicijsko održavanje građ. objekata</t>
  </si>
  <si>
    <t>Ostale  usluge</t>
  </si>
  <si>
    <t>Naknade za rad predstavničkih i izvršnih tijela, povjerenstava i sl.</t>
  </si>
  <si>
    <t>Program dodjele financijskih sredstava Ministarstva zdravstva u području prevencije ovisnosti i ponašajnih ovisnosti "Stop ovisnostima"</t>
  </si>
  <si>
    <t>Program dodjele financijskih sredstava HEP-a na ime naknade za proizvod ZelEn (Fotonaponska elektrana na krovištu Doma zdravlja Vukovar)</t>
  </si>
  <si>
    <t>IZVRŠENJE 
2024.</t>
  </si>
  <si>
    <t>PROJEKCIJA ZA
2028.</t>
  </si>
  <si>
    <t>PLAN ZA
2026.</t>
  </si>
  <si>
    <t>PROJEKCIJA ZA 
2027.</t>
  </si>
  <si>
    <t>TEKUĆI PLAN ZA
2025.</t>
  </si>
  <si>
    <t>Kombi vozila</t>
  </si>
  <si>
    <t>31332</t>
  </si>
  <si>
    <t>Doprinosi za zapošljavanje</t>
  </si>
  <si>
    <t>Doprinosi u slučaju nezaposlenosti</t>
  </si>
  <si>
    <t>32319</t>
  </si>
  <si>
    <t>Ostale usluge za komunikaciju i prijevoz</t>
  </si>
  <si>
    <t>Geodetsko-katastarske usluge</t>
  </si>
  <si>
    <t>Ostali instrumenti i uređaji</t>
  </si>
  <si>
    <t>Program financiranja projekta "Pokretni dijagnostički centar" od strane Fonda za obnovu i razvoj Grada Vukovara</t>
  </si>
  <si>
    <t>Medicinska i labaratorijska oprema</t>
  </si>
  <si>
    <t>Materijal i sredstva za čišćenje</t>
  </si>
  <si>
    <t>32379</t>
  </si>
  <si>
    <t>32931</t>
  </si>
  <si>
    <t>Prihodi od zateznih kamata</t>
  </si>
  <si>
    <t>66153</t>
  </si>
  <si>
    <t>Prihodi za udio troškova u zakupu</t>
  </si>
  <si>
    <t>63313</t>
  </si>
  <si>
    <t>Tekuće potpore iz gradskog proračuna</t>
  </si>
  <si>
    <t>6362</t>
  </si>
  <si>
    <t>63622</t>
  </si>
  <si>
    <t>Kapitalne pomoći iz državnog proračuna proračunskim korisnicima JLP(R)S</t>
  </si>
  <si>
    <t>Kapitalne pomoći iz državnog prorač. prorač.korisnicima JLP(R)S</t>
  </si>
  <si>
    <t>325</t>
  </si>
  <si>
    <t>3251</t>
  </si>
  <si>
    <t>32511</t>
  </si>
  <si>
    <t>32513</t>
  </si>
  <si>
    <t>Rashodi po osnovi utroška lijekova</t>
  </si>
  <si>
    <t>Rashodi po osnovi utroška potrošnog medicinskog materijala</t>
  </si>
  <si>
    <t>Usluge telefona, pošte i prijevoza</t>
  </si>
  <si>
    <t>Ostali instrumenti i uređaj</t>
  </si>
  <si>
    <t>32119</t>
  </si>
  <si>
    <t>Ostali rashodi za sl. putovanje (cestarine, trošak parkiranja)</t>
  </si>
  <si>
    <t>32216</t>
  </si>
  <si>
    <t>Materijal za higijenske potrebe i njegu</t>
  </si>
  <si>
    <t>32224</t>
  </si>
  <si>
    <t>32225</t>
  </si>
  <si>
    <t>Namirnice</t>
  </si>
  <si>
    <t>Roba</t>
  </si>
  <si>
    <t>32252</t>
  </si>
  <si>
    <t>Sitan inventar</t>
  </si>
  <si>
    <t>Auto gume</t>
  </si>
  <si>
    <t>32329</t>
  </si>
  <si>
    <t>Ostale usluge tekućeg i investicijskog ulaganja</t>
  </si>
  <si>
    <t>Dimnjačarske usluge</t>
  </si>
  <si>
    <t>32345</t>
  </si>
  <si>
    <t>32347</t>
  </si>
  <si>
    <t>32348</t>
  </si>
  <si>
    <t>Komunalna naknada</t>
  </si>
  <si>
    <t>Pričuva</t>
  </si>
  <si>
    <t>Naknada za uređenje voda</t>
  </si>
  <si>
    <t>32344</t>
  </si>
  <si>
    <t>Zakupnine i najamnine za opremu</t>
  </si>
  <si>
    <t>Licence-računalni programi</t>
  </si>
  <si>
    <t>Laboratorijske usluge</t>
  </si>
  <si>
    <t>Veterinarske usluge</t>
  </si>
  <si>
    <t>Obvezni i preventivni zdravstveni pregledi zaposlenika</t>
  </si>
  <si>
    <t>Grafičke i tiskarske usluge, usluge kopiranja i uvezivanja i slično</t>
  </si>
  <si>
    <t>3252</t>
  </si>
  <si>
    <t>32521</t>
  </si>
  <si>
    <t>Rashodi s osnova otpisa lijekova i potrošnog materijala</t>
  </si>
  <si>
    <t>3254</t>
  </si>
  <si>
    <t>32541</t>
  </si>
  <si>
    <t>Rashodi s osnova prodaje lijekova i potrošnog materijala</t>
  </si>
  <si>
    <t>Rashodi s osnova prodaje lijekova</t>
  </si>
  <si>
    <t>Rashodi s osnova otpisa lijekova</t>
  </si>
  <si>
    <t>Upravne i administrativne pristojbe</t>
  </si>
  <si>
    <t>Usluge banaka</t>
  </si>
  <si>
    <t>31217</t>
  </si>
  <si>
    <t>Božićnica, uskrsnica</t>
  </si>
  <si>
    <t>32123</t>
  </si>
  <si>
    <t>Naknada za odvojeni život</t>
  </si>
  <si>
    <t>Autogume</t>
  </si>
  <si>
    <t>32334</t>
  </si>
  <si>
    <t>Usluge promidžbe i informiranja, oglasi</t>
  </si>
  <si>
    <t>32373</t>
  </si>
  <si>
    <t>32381</t>
  </si>
  <si>
    <t>Rashodi lijekova i potrošnog materijala</t>
  </si>
  <si>
    <t>32941</t>
  </si>
  <si>
    <t>32955</t>
  </si>
  <si>
    <t>Novčana naknada poslodavca zbog nezapošljavanja osoba s invaliditetom</t>
  </si>
  <si>
    <t>34312</t>
  </si>
  <si>
    <t>34349</t>
  </si>
  <si>
    <t>38341</t>
  </si>
  <si>
    <t>Ostale usluge tekućeg i investicijskog održavanja</t>
  </si>
  <si>
    <t>Telefoni i ostali komunikacijski uređaji</t>
  </si>
  <si>
    <t>42222</t>
  </si>
  <si>
    <t>37215</t>
  </si>
  <si>
    <t>Rashodi po osnovi utroška potrošnog materijala</t>
  </si>
  <si>
    <t>63811</t>
  </si>
  <si>
    <t>Tekuće pomoći iz državnog proračuna temeljem EU prijenosa</t>
  </si>
  <si>
    <t>63911</t>
  </si>
  <si>
    <t>66142</t>
  </si>
  <si>
    <t>Prihodi od prodaje robe</t>
  </si>
  <si>
    <t>Stambeni objekti za zaposlene</t>
  </si>
  <si>
    <t>63821</t>
  </si>
  <si>
    <t>Pomoći temeljem EU prijenosa</t>
  </si>
  <si>
    <t>Prihodi od nefinancijske imovine</t>
  </si>
  <si>
    <t>66141</t>
  </si>
  <si>
    <t>66157</t>
  </si>
  <si>
    <t>Prihod od usluga ref. dežurstva specijalizanti</t>
  </si>
  <si>
    <t>68312</t>
  </si>
  <si>
    <t>68313</t>
  </si>
  <si>
    <t>Ostali prihodi-od inventurnih viškova</t>
  </si>
  <si>
    <t>66312</t>
  </si>
  <si>
    <t>66323</t>
  </si>
  <si>
    <t>Kapitalne donacije od trgovačkih društava</t>
  </si>
  <si>
    <t>Tekuće donacije od neprofitnih organizacija</t>
  </si>
  <si>
    <t>Ostali prihodi od veleprodajnih i akcijskih rabata</t>
  </si>
  <si>
    <t xml:space="preserve">   43 Prihodi od financijske imovine</t>
  </si>
  <si>
    <t>VIŠAK / MANJAK TEKUĆE GODINE</t>
  </si>
  <si>
    <t>Prihodi poslovanja</t>
  </si>
  <si>
    <t xml:space="preserve">Materijalni rashodi </t>
  </si>
  <si>
    <t>Usluge ažuriranja računalnih baza</t>
  </si>
  <si>
    <t>Bolnice, ostali zdravstveni objekti, laboratoriji, umirovljenički domovi i centri za socijalnu skrb</t>
  </si>
  <si>
    <t>Precizni i optički instrumenti</t>
  </si>
  <si>
    <t>Uređaji</t>
  </si>
  <si>
    <t>Nematerijalna imovina</t>
  </si>
  <si>
    <t>KORIŠTENJE DEC-a SREDSTAVA ŽUPANIJE</t>
  </si>
  <si>
    <t>Redovan program financiranja zdravstvenih ustanova iznad minimalnih standarda (dodatna zdravstvena zaštita i promicanje dojenja)</t>
  </si>
  <si>
    <t>32999</t>
  </si>
  <si>
    <t xml:space="preserve">Ostale pomoći </t>
  </si>
  <si>
    <t>Europski fond za regionalni razvoj - Unaprijeđenje kvalitete zdravstvene zaštite žena (Županja)</t>
  </si>
  <si>
    <t>563</t>
  </si>
  <si>
    <t>Europski fond za regionalni razvoj (Pomoći)</t>
  </si>
  <si>
    <t>581</t>
  </si>
  <si>
    <t>Mehanizam za oporavak i otpornost - bespovratna sredstva</t>
  </si>
  <si>
    <t>Mehanizam za oporavak i otpornost - bespovratna sredstva - Program financiranja zdravstvenih ustanova iz fondova Europske unije (specijalističko usavršavanje devet doktora medicine)</t>
  </si>
  <si>
    <t>42122</t>
  </si>
  <si>
    <t>42232</t>
  </si>
  <si>
    <t>Redovan program financiranja zdravstvenih ustanova iznad minimalnih standarda (Health home-patronaža)</t>
  </si>
  <si>
    <t>3 Vlastiti prihodi</t>
  </si>
  <si>
    <t>4 Prihodi za posebne namjene</t>
  </si>
  <si>
    <t>5 Pomoći</t>
  </si>
  <si>
    <t>6 Donacije</t>
  </si>
  <si>
    <t xml:space="preserve">   56 Fondovi EU</t>
  </si>
  <si>
    <t xml:space="preserve">      563 Europski fond za regionalni razvoj</t>
  </si>
  <si>
    <t xml:space="preserve">   58 Instrumenti EU nove generacije</t>
  </si>
  <si>
    <t xml:space="preserve">      581 Mehanizam za oporavak i otpornost - bespovratna sredstva</t>
  </si>
  <si>
    <t xml:space="preserve">Ostale Pomoći </t>
  </si>
  <si>
    <t>7 Prihodi od nefinancijske imovine i naknade štete s naslova osiguranja</t>
  </si>
  <si>
    <t>56</t>
  </si>
  <si>
    <t>Fondovi EU</t>
  </si>
  <si>
    <t>5</t>
  </si>
  <si>
    <t>58</t>
  </si>
  <si>
    <t>Instrumenti EU nove generacije</t>
  </si>
  <si>
    <t>Mehanizam za oporavak i otpornost</t>
  </si>
  <si>
    <t>Europski fond za regionalni razvoj</t>
  </si>
  <si>
    <t>6</t>
  </si>
  <si>
    <t xml:space="preserve">DONACIJE </t>
  </si>
  <si>
    <t>POMOĆI</t>
  </si>
  <si>
    <t>7</t>
  </si>
  <si>
    <t>Prihodi od prodaje ili zamjene nefinancijske imovine i naknade s naslova osiguranja</t>
  </si>
  <si>
    <t>PRIHODI OD PRODAJE ILI ZAMJENE NEFINANCIJSKE IMOVINE I NAKNADE S NASLOVA OSIGURANJA</t>
  </si>
  <si>
    <t>PRIHODI ZA POSEBNE NAMJENE</t>
  </si>
  <si>
    <t xml:space="preserve">VLASTITI PRIHODI </t>
  </si>
  <si>
    <t>1</t>
  </si>
  <si>
    <t xml:space="preserve">OPĆI PRIHODI I PRIMICI </t>
  </si>
  <si>
    <t xml:space="preserve">Uređaji </t>
  </si>
  <si>
    <t>Ostale pomoći</t>
  </si>
  <si>
    <t>Kapitalna pomoć temeljem prijenosa EU</t>
  </si>
  <si>
    <t>Prihodi od prodaje proizvoda i robe - ljekarne</t>
  </si>
  <si>
    <t>Prihodi od upravnih i administrativnih pristojbi, pristojbi po posebnim propisima i naknada</t>
  </si>
  <si>
    <t>PLAN ZA 2026. REBALANS I</t>
  </si>
  <si>
    <t>FINANCIJSKI PLAN REBALANS I DOMA ZDRAVLJA VUKOVARSKO - SRIJEMSKE ŽUPANIJE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</si>
</sst>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&quot;kn&quot;_-;\-* #,##0.00\ &quot;kn&quot;_-;_-* &quot;-&quot;??\ &quot;kn&quot;_-;_-@_-"/>
    <numFmt numFmtId="165" formatCode="_-* #,##0.00\ [$€-1]_-;\-* #,##0.00\ [$€-1]_-;_-* &quot;-&quot;??\ [$€-1]_-;_-@_-"/>
    <numFmt numFmtId="166" formatCode="#,##0.00\ [$€-41A]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3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3" tint="-0.249977111117893"/>
      <name val="Times New Roman"/>
      <family val="1"/>
      <charset val="238"/>
    </font>
    <font>
      <b/>
      <sz val="12"/>
      <color theme="3" tint="-0.499984740745262"/>
      <name val="Times New Roman"/>
      <family val="1"/>
      <charset val="238"/>
    </font>
    <font>
      <sz val="12"/>
      <color theme="3" tint="-0.499984740745262"/>
      <name val="Times New Roman"/>
      <family val="1"/>
      <charset val="238"/>
    </font>
    <font>
      <sz val="12"/>
      <color theme="3" tint="0.3999755851924192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rgb="FF002060"/>
      <name val="Times New Roman"/>
      <family val="1"/>
      <charset val="238"/>
    </font>
    <font>
      <b/>
      <sz val="12"/>
      <color theme="8" tint="-0.499984740745262"/>
      <name val="Times New Roman"/>
      <family val="1"/>
      <charset val="238"/>
    </font>
    <font>
      <sz val="12"/>
      <color rgb="FF002060"/>
      <name val="Times New Roman"/>
      <family val="1"/>
      <charset val="238"/>
    </font>
    <font>
      <b/>
      <i/>
      <sz val="12"/>
      <color rgb="FF002060"/>
      <name val="Times New Roman"/>
      <family val="1"/>
      <charset val="238"/>
    </font>
    <font>
      <i/>
      <sz val="12"/>
      <color rgb="FF00206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sz val="12"/>
      <color theme="8" tint="-0.49998474074526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i/>
      <sz val="12"/>
      <color theme="8" tint="-0.499984740745262"/>
      <name val="Times New Roman"/>
      <family val="1"/>
      <charset val="238"/>
    </font>
    <font>
      <b/>
      <i/>
      <sz val="12"/>
      <color theme="3" tint="-0.499984740745262"/>
      <name val="Times New Roman"/>
      <family val="1"/>
      <charset val="238"/>
    </font>
    <font>
      <i/>
      <sz val="12"/>
      <color theme="3" tint="-0.499984740745262"/>
      <name val="Times New Roman"/>
      <family val="1"/>
      <charset val="238"/>
    </font>
    <font>
      <i/>
      <sz val="12"/>
      <color theme="8" tint="-0.499984740745262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1" fillId="0" borderId="0"/>
  </cellStyleXfs>
  <cellXfs count="563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11" xfId="0" applyFont="1" applyBorder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vertical="center"/>
    </xf>
    <xf numFmtId="0" fontId="5" fillId="0" borderId="12" xfId="0" quotePrefix="1" applyFont="1" applyBorder="1" applyAlignment="1">
      <alignment horizontal="center" wrapText="1"/>
    </xf>
    <xf numFmtId="0" fontId="5" fillId="0" borderId="9" xfId="0" quotePrefix="1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wrapText="1"/>
    </xf>
    <xf numFmtId="0" fontId="8" fillId="9" borderId="13" xfId="0" applyFont="1" applyFill="1" applyBorder="1" applyAlignment="1">
      <alignment vertical="center"/>
    </xf>
    <xf numFmtId="4" fontId="5" fillId="9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7" fillId="9" borderId="12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/>
    </xf>
    <xf numFmtId="0" fontId="7" fillId="9" borderId="1" xfId="0" applyFont="1" applyFill="1" applyBorder="1" applyAlignment="1">
      <alignment horizontal="left" vertical="center" wrapText="1"/>
    </xf>
    <xf numFmtId="3" fontId="5" fillId="9" borderId="1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3" fontId="7" fillId="4" borderId="1" xfId="2" applyNumberFormat="1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2" applyFont="1" applyAlignment="1">
      <alignment horizontal="center" vertical="center"/>
    </xf>
    <xf numFmtId="3" fontId="7" fillId="4" borderId="1" xfId="2" applyNumberFormat="1" applyFont="1" applyFill="1" applyBorder="1" applyAlignment="1">
      <alignment horizontal="center" vertical="center"/>
    </xf>
    <xf numFmtId="0" fontId="7" fillId="10" borderId="1" xfId="2" applyFont="1" applyFill="1" applyBorder="1" applyAlignment="1">
      <alignment horizontal="center" vertical="center"/>
    </xf>
    <xf numFmtId="0" fontId="7" fillId="10" borderId="1" xfId="2" applyFont="1" applyFill="1" applyBorder="1" applyAlignment="1">
      <alignment horizontal="center" vertical="center" wrapText="1"/>
    </xf>
    <xf numFmtId="165" fontId="7" fillId="10" borderId="1" xfId="2" applyNumberFormat="1" applyFont="1" applyFill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0" fontId="7" fillId="9" borderId="1" xfId="2" applyFont="1" applyFill="1" applyBorder="1" applyAlignment="1">
      <alignment horizontal="center" vertical="center" wrapText="1"/>
    </xf>
    <xf numFmtId="0" fontId="7" fillId="9" borderId="1" xfId="2" applyFont="1" applyFill="1" applyBorder="1" applyAlignment="1">
      <alignment horizontal="left" vertical="center"/>
    </xf>
    <xf numFmtId="165" fontId="7" fillId="9" borderId="1" xfId="2" applyNumberFormat="1" applyFont="1" applyFill="1" applyBorder="1" applyAlignment="1">
      <alignment horizontal="right" vertical="center"/>
    </xf>
    <xf numFmtId="0" fontId="10" fillId="0" borderId="0" xfId="0" applyFont="1"/>
    <xf numFmtId="0" fontId="16" fillId="0" borderId="0" xfId="0" applyFont="1"/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165" fontId="7" fillId="0" borderId="1" xfId="2" applyNumberFormat="1" applyFont="1" applyBorder="1" applyAlignment="1">
      <alignment horizontal="right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165" fontId="8" fillId="0" borderId="1" xfId="2" applyNumberFormat="1" applyFont="1" applyBorder="1" applyAlignment="1">
      <alignment vertical="center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vertical="center"/>
    </xf>
    <xf numFmtId="165" fontId="7" fillId="0" borderId="1" xfId="2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1" xfId="2" applyFont="1" applyBorder="1" applyAlignment="1">
      <alignment horizontal="center" vertical="center"/>
    </xf>
    <xf numFmtId="49" fontId="8" fillId="4" borderId="1" xfId="2" applyNumberFormat="1" applyFont="1" applyFill="1" applyBorder="1" applyAlignment="1">
      <alignment horizontal="left" vertical="center" wrapText="1"/>
    </xf>
    <xf numFmtId="0" fontId="7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9" borderId="1" xfId="2" applyFont="1" applyFill="1" applyBorder="1" applyAlignment="1">
      <alignment horizontal="center" vertical="center"/>
    </xf>
    <xf numFmtId="0" fontId="7" fillId="9" borderId="1" xfId="2" applyFont="1" applyFill="1" applyBorder="1" applyAlignment="1">
      <alignment vertical="center"/>
    </xf>
    <xf numFmtId="165" fontId="7" fillId="9" borderId="1" xfId="2" applyNumberFormat="1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7" fillId="2" borderId="1" xfId="2" applyFont="1" applyFill="1" applyBorder="1" applyAlignment="1">
      <alignment horizontal="center" vertical="center"/>
    </xf>
    <xf numFmtId="165" fontId="7" fillId="2" borderId="1" xfId="2" applyNumberFormat="1" applyFont="1" applyFill="1" applyBorder="1" applyAlignment="1">
      <alignment vertical="center"/>
    </xf>
    <xf numFmtId="0" fontId="8" fillId="2" borderId="1" xfId="2" applyFont="1" applyFill="1" applyBorder="1" applyAlignment="1">
      <alignment horizontal="center" vertical="center"/>
    </xf>
    <xf numFmtId="165" fontId="8" fillId="2" borderId="1" xfId="2" applyNumberFormat="1" applyFont="1" applyFill="1" applyBorder="1" applyAlignment="1">
      <alignment vertical="center"/>
    </xf>
    <xf numFmtId="49" fontId="7" fillId="7" borderId="1" xfId="2" applyNumberFormat="1" applyFont="1" applyFill="1" applyBorder="1" applyAlignment="1">
      <alignment horizontal="left" vertical="center" wrapText="1"/>
    </xf>
    <xf numFmtId="49" fontId="7" fillId="10" borderId="1" xfId="2" applyNumberFormat="1" applyFont="1" applyFill="1" applyBorder="1" applyAlignment="1">
      <alignment horizontal="left" vertical="center" wrapText="1"/>
    </xf>
    <xf numFmtId="165" fontId="7" fillId="10" borderId="1" xfId="2" applyNumberFormat="1" applyFont="1" applyFill="1" applyBorder="1" applyAlignment="1">
      <alignment vertical="center"/>
    </xf>
    <xf numFmtId="49" fontId="7" fillId="9" borderId="1" xfId="2" applyNumberFormat="1" applyFont="1" applyFill="1" applyBorder="1" applyAlignment="1">
      <alignment horizontal="left" vertical="center" wrapText="1"/>
    </xf>
    <xf numFmtId="0" fontId="7" fillId="11" borderId="9" xfId="2" applyFont="1" applyFill="1" applyBorder="1" applyAlignment="1">
      <alignment horizontal="center" vertical="center"/>
    </xf>
    <xf numFmtId="165" fontId="7" fillId="11" borderId="1" xfId="2" applyNumberFormat="1" applyFont="1" applyFill="1" applyBorder="1" applyAlignment="1">
      <alignment vertical="center"/>
    </xf>
    <xf numFmtId="3" fontId="8" fillId="4" borderId="1" xfId="2" applyNumberFormat="1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17" fillId="0" borderId="0" xfId="2" applyFont="1"/>
    <xf numFmtId="0" fontId="7" fillId="0" borderId="0" xfId="2" applyFont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8" fillId="0" borderId="15" xfId="2" applyFont="1" applyBorder="1"/>
    <xf numFmtId="3" fontId="8" fillId="0" borderId="15" xfId="2" applyNumberFormat="1" applyFont="1" applyBorder="1"/>
    <xf numFmtId="3" fontId="8" fillId="4" borderId="9" xfId="2" applyNumberFormat="1" applyFont="1" applyFill="1" applyBorder="1" applyAlignment="1">
      <alignment horizontal="center" vertical="center" wrapText="1"/>
    </xf>
    <xf numFmtId="165" fontId="8" fillId="0" borderId="1" xfId="2" applyNumberFormat="1" applyFont="1" applyBorder="1"/>
    <xf numFmtId="165" fontId="8" fillId="0" borderId="1" xfId="2" applyNumberFormat="1" applyFont="1" applyBorder="1" applyAlignment="1">
      <alignment horizontal="right" vertical="center"/>
    </xf>
    <xf numFmtId="0" fontId="8" fillId="0" borderId="1" xfId="2" applyFont="1" applyBorder="1"/>
    <xf numFmtId="0" fontId="7" fillId="0" borderId="1" xfId="2" applyFont="1" applyBorder="1"/>
    <xf numFmtId="165" fontId="7" fillId="0" borderId="1" xfId="2" applyNumberFormat="1" applyFont="1" applyBorder="1"/>
    <xf numFmtId="0" fontId="8" fillId="0" borderId="1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7" fillId="9" borderId="1" xfId="2" applyFont="1" applyFill="1" applyBorder="1"/>
    <xf numFmtId="165" fontId="7" fillId="9" borderId="1" xfId="2" applyNumberFormat="1" applyFont="1" applyFill="1" applyBorder="1"/>
    <xf numFmtId="0" fontId="18" fillId="0" borderId="0" xfId="2" applyFont="1"/>
    <xf numFmtId="165" fontId="7" fillId="10" borderId="1" xfId="2" applyNumberFormat="1" applyFont="1" applyFill="1" applyBorder="1"/>
    <xf numFmtId="165" fontId="7" fillId="11" borderId="1" xfId="2" applyNumberFormat="1" applyFont="1" applyFill="1" applyBorder="1"/>
    <xf numFmtId="0" fontId="8" fillId="0" borderId="0" xfId="2" applyFont="1"/>
    <xf numFmtId="3" fontId="8" fillId="0" borderId="0" xfId="2" applyNumberFormat="1" applyFont="1"/>
    <xf numFmtId="0" fontId="19" fillId="0" borderId="9" xfId="2" applyFont="1" applyBorder="1" applyAlignment="1">
      <alignment horizontal="center"/>
    </xf>
    <xf numFmtId="3" fontId="19" fillId="0" borderId="1" xfId="2" applyNumberFormat="1" applyFont="1" applyBorder="1" applyAlignment="1">
      <alignment horizontal="center"/>
    </xf>
    <xf numFmtId="0" fontId="19" fillId="0" borderId="1" xfId="2" applyFont="1" applyBorder="1" applyAlignment="1">
      <alignment horizontal="center"/>
    </xf>
    <xf numFmtId="0" fontId="7" fillId="10" borderId="1" xfId="2" applyFont="1" applyFill="1" applyBorder="1"/>
    <xf numFmtId="0" fontId="7" fillId="12" borderId="1" xfId="2" applyFont="1" applyFill="1" applyBorder="1"/>
    <xf numFmtId="165" fontId="7" fillId="12" borderId="1" xfId="2" applyNumberFormat="1" applyFont="1" applyFill="1" applyBorder="1"/>
    <xf numFmtId="0" fontId="17" fillId="0" borderId="1" xfId="2" applyFont="1" applyBorder="1"/>
    <xf numFmtId="0" fontId="18" fillId="0" borderId="1" xfId="2" applyFont="1" applyBorder="1"/>
    <xf numFmtId="0" fontId="7" fillId="0" borderId="12" xfId="2" applyFont="1" applyBorder="1" applyAlignment="1">
      <alignment horizontal="center" vertical="center"/>
    </xf>
    <xf numFmtId="165" fontId="8" fillId="0" borderId="0" xfId="2" applyNumberFormat="1" applyFont="1"/>
    <xf numFmtId="166" fontId="7" fillId="0" borderId="1" xfId="2" applyNumberFormat="1" applyFont="1" applyBorder="1"/>
    <xf numFmtId="2" fontId="17" fillId="0" borderId="0" xfId="2" applyNumberFormat="1" applyFont="1"/>
    <xf numFmtId="0" fontId="7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166" fontId="8" fillId="0" borderId="1" xfId="2" applyNumberFormat="1" applyFont="1" applyBorder="1"/>
    <xf numFmtId="3" fontId="8" fillId="0" borderId="1" xfId="2" applyNumberFormat="1" applyFont="1" applyBorder="1"/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/>
    </xf>
    <xf numFmtId="165" fontId="20" fillId="2" borderId="0" xfId="1" applyNumberFormat="1" applyFont="1" applyFill="1" applyAlignment="1">
      <alignment horizontal="center" vertical="center" wrapText="1"/>
    </xf>
    <xf numFmtId="0" fontId="20" fillId="4" borderId="2" xfId="2" applyFont="1" applyFill="1" applyBorder="1" applyAlignment="1">
      <alignment horizontal="center" vertical="center" wrapText="1"/>
    </xf>
    <xf numFmtId="0" fontId="21" fillId="4" borderId="1" xfId="2" applyFont="1" applyFill="1" applyBorder="1" applyAlignment="1">
      <alignment horizontal="center" vertical="center" wrapText="1"/>
    </xf>
    <xf numFmtId="165" fontId="20" fillId="4" borderId="7" xfId="2" applyNumberFormat="1" applyFont="1" applyFill="1" applyBorder="1" applyAlignment="1">
      <alignment horizontal="right" vertical="center"/>
    </xf>
    <xf numFmtId="3" fontId="22" fillId="0" borderId="0" xfId="2" applyNumberFormat="1" applyFont="1" applyAlignment="1">
      <alignment vertical="center"/>
    </xf>
    <xf numFmtId="0" fontId="17" fillId="0" borderId="0" xfId="2" applyFont="1" applyAlignment="1">
      <alignment vertical="center"/>
    </xf>
    <xf numFmtId="165" fontId="20" fillId="4" borderId="7" xfId="2" applyNumberFormat="1" applyFont="1" applyFill="1" applyBorder="1" applyAlignment="1">
      <alignment vertical="center"/>
    </xf>
    <xf numFmtId="3" fontId="20" fillId="4" borderId="1" xfId="2" applyNumberFormat="1" applyFont="1" applyFill="1" applyBorder="1" applyAlignment="1">
      <alignment horizontal="center" vertical="center" wrapText="1"/>
    </xf>
    <xf numFmtId="3" fontId="20" fillId="5" borderId="1" xfId="2" applyNumberFormat="1" applyFont="1" applyFill="1" applyBorder="1" applyAlignment="1">
      <alignment horizontal="center" vertical="center" wrapText="1"/>
    </xf>
    <xf numFmtId="3" fontId="20" fillId="4" borderId="1" xfId="2" applyNumberFormat="1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/>
    </xf>
    <xf numFmtId="3" fontId="20" fillId="6" borderId="1" xfId="2" applyNumberFormat="1" applyFont="1" applyFill="1" applyBorder="1" applyAlignment="1">
      <alignment horizontal="center" vertical="center" wrapText="1"/>
    </xf>
    <xf numFmtId="3" fontId="20" fillId="6" borderId="1" xfId="2" applyNumberFormat="1" applyFont="1" applyFill="1" applyBorder="1" applyAlignment="1">
      <alignment horizontal="right" vertical="center" wrapText="1"/>
    </xf>
    <xf numFmtId="3" fontId="20" fillId="6" borderId="1" xfId="2" applyNumberFormat="1" applyFont="1" applyFill="1" applyBorder="1" applyAlignment="1">
      <alignment horizontal="left" vertical="center"/>
    </xf>
    <xf numFmtId="165" fontId="20" fillId="6" borderId="1" xfId="2" applyNumberFormat="1" applyFont="1" applyFill="1" applyBorder="1" applyAlignment="1">
      <alignment horizontal="right" vertical="center" wrapText="1"/>
    </xf>
    <xf numFmtId="3" fontId="20" fillId="0" borderId="0" xfId="2" applyNumberFormat="1" applyFont="1" applyAlignment="1">
      <alignment vertical="center"/>
    </xf>
    <xf numFmtId="0" fontId="18" fillId="0" borderId="0" xfId="2" applyFont="1" applyAlignment="1">
      <alignment vertical="center"/>
    </xf>
    <xf numFmtId="0" fontId="17" fillId="0" borderId="1" xfId="2" applyFont="1" applyBorder="1" applyAlignment="1">
      <alignment vertical="center"/>
    </xf>
    <xf numFmtId="49" fontId="20" fillId="7" borderId="1" xfId="2" applyNumberFormat="1" applyFont="1" applyFill="1" applyBorder="1" applyAlignment="1">
      <alignment horizontal="right" vertical="center"/>
    </xf>
    <xf numFmtId="49" fontId="20" fillId="7" borderId="1" xfId="2" applyNumberFormat="1" applyFont="1" applyFill="1" applyBorder="1" applyAlignment="1">
      <alignment horizontal="center" vertical="center"/>
    </xf>
    <xf numFmtId="49" fontId="20" fillId="7" borderId="1" xfId="2" applyNumberFormat="1" applyFont="1" applyFill="1" applyBorder="1" applyAlignment="1">
      <alignment horizontal="left" vertical="center" wrapText="1"/>
    </xf>
    <xf numFmtId="165" fontId="20" fillId="7" borderId="1" xfId="2" applyNumberFormat="1" applyFont="1" applyFill="1" applyBorder="1" applyAlignment="1">
      <alignment horizontal="right" vertical="center"/>
    </xf>
    <xf numFmtId="49" fontId="20" fillId="3" borderId="1" xfId="2" applyNumberFormat="1" applyFont="1" applyFill="1" applyBorder="1" applyAlignment="1">
      <alignment horizontal="right" vertical="center"/>
    </xf>
    <xf numFmtId="49" fontId="20" fillId="3" borderId="1" xfId="2" applyNumberFormat="1" applyFont="1" applyFill="1" applyBorder="1" applyAlignment="1">
      <alignment horizontal="center" vertical="center"/>
    </xf>
    <xf numFmtId="49" fontId="20" fillId="3" borderId="1" xfId="2" applyNumberFormat="1" applyFont="1" applyFill="1" applyBorder="1" applyAlignment="1">
      <alignment horizontal="left" vertical="center" wrapText="1"/>
    </xf>
    <xf numFmtId="165" fontId="20" fillId="3" borderId="1" xfId="2" applyNumberFormat="1" applyFont="1" applyFill="1" applyBorder="1" applyAlignment="1">
      <alignment horizontal="right" vertical="center"/>
    </xf>
    <xf numFmtId="49" fontId="22" fillId="3" borderId="1" xfId="2" applyNumberFormat="1" applyFont="1" applyFill="1" applyBorder="1" applyAlignment="1">
      <alignment horizontal="right" vertical="center"/>
    </xf>
    <xf numFmtId="49" fontId="22" fillId="3" borderId="1" xfId="2" applyNumberFormat="1" applyFont="1" applyFill="1" applyBorder="1" applyAlignment="1">
      <alignment horizontal="center" vertical="center"/>
    </xf>
    <xf numFmtId="49" fontId="22" fillId="3" borderId="1" xfId="2" applyNumberFormat="1" applyFont="1" applyFill="1" applyBorder="1" applyAlignment="1">
      <alignment horizontal="left" vertical="center" wrapText="1"/>
    </xf>
    <xf numFmtId="165" fontId="22" fillId="3" borderId="1" xfId="2" applyNumberFormat="1" applyFont="1" applyFill="1" applyBorder="1" applyAlignment="1">
      <alignment horizontal="right" vertical="center"/>
    </xf>
    <xf numFmtId="0" fontId="12" fillId="0" borderId="1" xfId="2" applyFont="1" applyBorder="1" applyAlignment="1">
      <alignment vertical="center"/>
    </xf>
    <xf numFmtId="0" fontId="12" fillId="0" borderId="1" xfId="2" applyFont="1" applyBorder="1" applyAlignment="1">
      <alignment horizontal="right" vertical="center"/>
    </xf>
    <xf numFmtId="49" fontId="25" fillId="8" borderId="1" xfId="2" applyNumberFormat="1" applyFont="1" applyFill="1" applyBorder="1" applyAlignment="1">
      <alignment horizontal="left" vertical="center" wrapText="1"/>
    </xf>
    <xf numFmtId="165" fontId="25" fillId="8" borderId="1" xfId="2" applyNumberFormat="1" applyFont="1" applyFill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18" fillId="0" borderId="1" xfId="2" applyFont="1" applyBorder="1" applyAlignment="1">
      <alignment vertical="center"/>
    </xf>
    <xf numFmtId="49" fontId="20" fillId="0" borderId="1" xfId="2" applyNumberFormat="1" applyFont="1" applyBorder="1" applyAlignment="1">
      <alignment horizontal="right" vertical="center"/>
    </xf>
    <xf numFmtId="49" fontId="20" fillId="0" borderId="1" xfId="2" applyNumberFormat="1" applyFont="1" applyBorder="1" applyAlignment="1">
      <alignment horizontal="center" vertical="center"/>
    </xf>
    <xf numFmtId="49" fontId="20" fillId="0" borderId="1" xfId="2" applyNumberFormat="1" applyFont="1" applyBorder="1" applyAlignment="1">
      <alignment horizontal="left" vertical="center" wrapText="1"/>
    </xf>
    <xf numFmtId="165" fontId="20" fillId="0" borderId="1" xfId="2" applyNumberFormat="1" applyFont="1" applyBorder="1" applyAlignment="1">
      <alignment horizontal="right" vertical="center"/>
    </xf>
    <xf numFmtId="49" fontId="20" fillId="4" borderId="1" xfId="2" applyNumberFormat="1" applyFont="1" applyFill="1" applyBorder="1" applyAlignment="1">
      <alignment horizontal="right" vertical="center"/>
    </xf>
    <xf numFmtId="49" fontId="20" fillId="4" borderId="1" xfId="2" applyNumberFormat="1" applyFont="1" applyFill="1" applyBorder="1" applyAlignment="1">
      <alignment horizontal="center" vertical="center"/>
    </xf>
    <xf numFmtId="49" fontId="20" fillId="4" borderId="1" xfId="2" applyNumberFormat="1" applyFont="1" applyFill="1" applyBorder="1" applyAlignment="1">
      <alignment horizontal="left" vertical="center" wrapText="1"/>
    </xf>
    <xf numFmtId="165" fontId="20" fillId="4" borderId="1" xfId="2" applyNumberFormat="1" applyFont="1" applyFill="1" applyBorder="1" applyAlignment="1">
      <alignment horizontal="right" vertical="center"/>
    </xf>
    <xf numFmtId="49" fontId="22" fillId="4" borderId="1" xfId="2" applyNumberFormat="1" applyFont="1" applyFill="1" applyBorder="1" applyAlignment="1">
      <alignment horizontal="right" vertical="center"/>
    </xf>
    <xf numFmtId="49" fontId="22" fillId="4" borderId="1" xfId="2" applyNumberFormat="1" applyFont="1" applyFill="1" applyBorder="1" applyAlignment="1">
      <alignment horizontal="left" vertical="center" wrapText="1"/>
    </xf>
    <xf numFmtId="165" fontId="22" fillId="4" borderId="1" xfId="2" applyNumberFormat="1" applyFont="1" applyFill="1" applyBorder="1" applyAlignment="1">
      <alignment horizontal="right" vertical="center"/>
    </xf>
    <xf numFmtId="165" fontId="22" fillId="0" borderId="1" xfId="2" applyNumberFormat="1" applyFont="1" applyBorder="1" applyAlignment="1">
      <alignment horizontal="right" vertical="center"/>
    </xf>
    <xf numFmtId="0" fontId="20" fillId="9" borderId="1" xfId="2" applyFont="1" applyFill="1" applyBorder="1" applyAlignment="1">
      <alignment horizontal="right" vertical="center"/>
    </xf>
    <xf numFmtId="0" fontId="20" fillId="9" borderId="1" xfId="2" applyFont="1" applyFill="1" applyBorder="1" applyAlignment="1">
      <alignment horizontal="center" vertical="center"/>
    </xf>
    <xf numFmtId="49" fontId="20" fillId="9" borderId="1" xfId="2" applyNumberFormat="1" applyFont="1" applyFill="1" applyBorder="1" applyAlignment="1">
      <alignment horizontal="left" vertical="center" wrapText="1"/>
    </xf>
    <xf numFmtId="165" fontId="20" fillId="9" borderId="1" xfId="2" applyNumberFormat="1" applyFont="1" applyFill="1" applyBorder="1" applyAlignment="1">
      <alignment horizontal="right" vertical="center"/>
    </xf>
    <xf numFmtId="0" fontId="20" fillId="0" borderId="1" xfId="2" applyFont="1" applyBorder="1" applyAlignment="1">
      <alignment horizontal="right" vertical="center"/>
    </xf>
    <xf numFmtId="0" fontId="20" fillId="0" borderId="1" xfId="2" applyFont="1" applyBorder="1" applyAlignment="1">
      <alignment horizontal="center" vertical="center"/>
    </xf>
    <xf numFmtId="0" fontId="20" fillId="7" borderId="1" xfId="2" applyFont="1" applyFill="1" applyBorder="1" applyAlignment="1">
      <alignment horizontal="right" vertical="center"/>
    </xf>
    <xf numFmtId="0" fontId="20" fillId="7" borderId="1" xfId="2" applyFont="1" applyFill="1" applyBorder="1" applyAlignment="1">
      <alignment horizontal="center" vertical="center"/>
    </xf>
    <xf numFmtId="0" fontId="20" fillId="7" borderId="1" xfId="2" applyFont="1" applyFill="1" applyBorder="1" applyAlignment="1">
      <alignment horizontal="left" vertical="center" wrapText="1"/>
    </xf>
    <xf numFmtId="0" fontId="20" fillId="4" borderId="1" xfId="2" applyFont="1" applyFill="1" applyBorder="1" applyAlignment="1">
      <alignment horizontal="right" vertical="center"/>
    </xf>
    <xf numFmtId="0" fontId="20" fillId="4" borderId="1" xfId="2" applyFont="1" applyFill="1" applyBorder="1" applyAlignment="1">
      <alignment horizontal="center" vertical="center"/>
    </xf>
    <xf numFmtId="0" fontId="20" fillId="4" borderId="1" xfId="2" applyFont="1" applyFill="1" applyBorder="1" applyAlignment="1">
      <alignment horizontal="left" vertical="center" wrapText="1"/>
    </xf>
    <xf numFmtId="0" fontId="22" fillId="4" borderId="1" xfId="2" applyFont="1" applyFill="1" applyBorder="1" applyAlignment="1">
      <alignment horizontal="right" vertical="center"/>
    </xf>
    <xf numFmtId="0" fontId="22" fillId="4" borderId="1" xfId="2" applyFont="1" applyFill="1" applyBorder="1" applyAlignment="1">
      <alignment horizontal="center" vertical="center"/>
    </xf>
    <xf numFmtId="0" fontId="22" fillId="4" borderId="1" xfId="2" applyFont="1" applyFill="1" applyBorder="1" applyAlignment="1">
      <alignment horizontal="left" vertical="center" wrapText="1"/>
    </xf>
    <xf numFmtId="49" fontId="22" fillId="4" borderId="1" xfId="2" applyNumberFormat="1" applyFont="1" applyFill="1" applyBorder="1" applyAlignment="1">
      <alignment horizontal="center" vertical="center"/>
    </xf>
    <xf numFmtId="0" fontId="21" fillId="0" borderId="1" xfId="2" applyFont="1" applyBorder="1"/>
    <xf numFmtId="0" fontId="26" fillId="0" borderId="1" xfId="2" applyFont="1" applyBorder="1"/>
    <xf numFmtId="0" fontId="23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horizontal="right" vertical="center"/>
    </xf>
    <xf numFmtId="49" fontId="22" fillId="0" borderId="1" xfId="2" applyNumberFormat="1" applyFont="1" applyBorder="1" applyAlignment="1">
      <alignment horizontal="left" vertical="center" wrapText="1"/>
    </xf>
    <xf numFmtId="165" fontId="20" fillId="7" borderId="1" xfId="2" applyNumberFormat="1" applyFont="1" applyFill="1" applyBorder="1" applyAlignment="1">
      <alignment horizontal="right" vertical="center" wrapText="1"/>
    </xf>
    <xf numFmtId="165" fontId="20" fillId="4" borderId="1" xfId="2" applyNumberFormat="1" applyFont="1" applyFill="1" applyBorder="1" applyAlignment="1">
      <alignment horizontal="right" vertical="center" wrapText="1"/>
    </xf>
    <xf numFmtId="165" fontId="22" fillId="4" borderId="1" xfId="2" applyNumberFormat="1" applyFont="1" applyFill="1" applyBorder="1" applyAlignment="1">
      <alignment horizontal="right" vertical="center" wrapText="1"/>
    </xf>
    <xf numFmtId="165" fontId="26" fillId="0" borderId="1" xfId="2" applyNumberFormat="1" applyFont="1" applyBorder="1"/>
    <xf numFmtId="0" fontId="27" fillId="0" borderId="0" xfId="2" applyFont="1" applyAlignment="1">
      <alignment vertical="center"/>
    </xf>
    <xf numFmtId="0" fontId="20" fillId="0" borderId="1" xfId="2" applyFont="1" applyBorder="1" applyAlignment="1">
      <alignment vertical="center"/>
    </xf>
    <xf numFmtId="0" fontId="22" fillId="0" borderId="0" xfId="2" applyFont="1" applyAlignment="1">
      <alignment vertical="center"/>
    </xf>
    <xf numFmtId="0" fontId="20" fillId="3" borderId="1" xfId="2" applyFont="1" applyFill="1" applyBorder="1" applyAlignment="1">
      <alignment horizontal="center" vertical="center"/>
    </xf>
    <xf numFmtId="0" fontId="22" fillId="3" borderId="1" xfId="2" applyFont="1" applyFill="1" applyBorder="1" applyAlignment="1">
      <alignment horizontal="center" vertical="center"/>
    </xf>
    <xf numFmtId="0" fontId="17" fillId="2" borderId="1" xfId="2" applyFont="1" applyFill="1" applyBorder="1" applyAlignment="1">
      <alignment vertical="center"/>
    </xf>
    <xf numFmtId="0" fontId="18" fillId="0" borderId="1" xfId="2" applyFont="1" applyBorder="1" applyAlignment="1">
      <alignment horizontal="right" vertical="center"/>
    </xf>
    <xf numFmtId="0" fontId="26" fillId="0" borderId="1" xfId="2" applyFont="1" applyBorder="1" applyAlignment="1">
      <alignment vertical="center"/>
    </xf>
    <xf numFmtId="0" fontId="18" fillId="10" borderId="1" xfId="2" applyFont="1" applyFill="1" applyBorder="1" applyAlignment="1">
      <alignment vertical="center"/>
    </xf>
    <xf numFmtId="0" fontId="20" fillId="10" borderId="1" xfId="2" applyFont="1" applyFill="1" applyBorder="1" applyAlignment="1">
      <alignment horizontal="center" vertical="center"/>
    </xf>
    <xf numFmtId="49" fontId="20" fillId="10" borderId="1" xfId="2" applyNumberFormat="1" applyFont="1" applyFill="1" applyBorder="1" applyAlignment="1">
      <alignment horizontal="left" vertical="center" wrapText="1"/>
    </xf>
    <xf numFmtId="165" fontId="20" fillId="10" borderId="1" xfId="2" applyNumberFormat="1" applyFont="1" applyFill="1" applyBorder="1" applyAlignment="1">
      <alignment horizontal="right" vertical="center"/>
    </xf>
    <xf numFmtId="0" fontId="20" fillId="9" borderId="1" xfId="2" applyFont="1" applyFill="1" applyBorder="1" applyAlignment="1">
      <alignment vertical="center"/>
    </xf>
    <xf numFmtId="0" fontId="18" fillId="0" borderId="3" xfId="2" applyFont="1" applyBorder="1" applyAlignment="1">
      <alignment vertical="center"/>
    </xf>
    <xf numFmtId="0" fontId="20" fillId="0" borderId="3" xfId="2" applyFont="1" applyBorder="1" applyAlignment="1">
      <alignment vertical="center"/>
    </xf>
    <xf numFmtId="0" fontId="20" fillId="0" borderId="3" xfId="2" applyFont="1" applyBorder="1" applyAlignment="1">
      <alignment horizontal="center" vertical="center"/>
    </xf>
    <xf numFmtId="49" fontId="20" fillId="0" borderId="3" xfId="2" applyNumberFormat="1" applyFont="1" applyBorder="1" applyAlignment="1">
      <alignment horizontal="left" vertical="center" wrapText="1"/>
    </xf>
    <xf numFmtId="165" fontId="25" fillId="8" borderId="3" xfId="2" applyNumberFormat="1" applyFont="1" applyFill="1" applyBorder="1" applyAlignment="1">
      <alignment horizontal="right" vertical="center"/>
    </xf>
    <xf numFmtId="3" fontId="23" fillId="4" borderId="0" xfId="2" applyNumberFormat="1" applyFont="1" applyFill="1" applyAlignment="1">
      <alignment horizontal="center" vertical="center"/>
    </xf>
    <xf numFmtId="0" fontId="17" fillId="2" borderId="0" xfId="2" applyFont="1" applyFill="1" applyAlignment="1">
      <alignment vertical="center"/>
    </xf>
    <xf numFmtId="165" fontId="23" fillId="4" borderId="0" xfId="2" applyNumberFormat="1" applyFont="1" applyFill="1" applyAlignment="1">
      <alignment horizontal="center" vertical="center"/>
    </xf>
    <xf numFmtId="49" fontId="20" fillId="6" borderId="8" xfId="2" applyNumberFormat="1" applyFont="1" applyFill="1" applyBorder="1" applyAlignment="1">
      <alignment horizontal="center" vertical="center"/>
    </xf>
    <xf numFmtId="0" fontId="20" fillId="10" borderId="8" xfId="2" applyFont="1" applyFill="1" applyBorder="1" applyAlignment="1">
      <alignment vertical="center"/>
    </xf>
    <xf numFmtId="49" fontId="20" fillId="6" borderId="8" xfId="2" applyNumberFormat="1" applyFont="1" applyFill="1" applyBorder="1" applyAlignment="1">
      <alignment vertical="center"/>
    </xf>
    <xf numFmtId="165" fontId="20" fillId="6" borderId="8" xfId="2" applyNumberFormat="1" applyFont="1" applyFill="1" applyBorder="1" applyAlignment="1">
      <alignment horizontal="right" vertical="center" wrapText="1"/>
    </xf>
    <xf numFmtId="49" fontId="20" fillId="7" borderId="1" xfId="2" applyNumberFormat="1" applyFont="1" applyFill="1" applyBorder="1" applyAlignment="1">
      <alignment vertical="center"/>
    </xf>
    <xf numFmtId="0" fontId="22" fillId="0" borderId="1" xfId="2" applyFont="1" applyBorder="1" applyAlignment="1">
      <alignment vertical="center"/>
    </xf>
    <xf numFmtId="49" fontId="22" fillId="0" borderId="1" xfId="2" applyNumberFormat="1" applyFont="1" applyBorder="1" applyAlignment="1">
      <alignment horizontal="right" vertical="center"/>
    </xf>
    <xf numFmtId="0" fontId="28" fillId="0" borderId="0" xfId="2" applyFont="1" applyAlignment="1">
      <alignment vertical="center"/>
    </xf>
    <xf numFmtId="0" fontId="29" fillId="0" borderId="0" xfId="2" applyFont="1" applyAlignment="1">
      <alignment vertical="center"/>
    </xf>
    <xf numFmtId="165" fontId="20" fillId="4" borderId="1" xfId="2" applyNumberFormat="1" applyFont="1" applyFill="1" applyBorder="1" applyAlignment="1">
      <alignment vertical="center"/>
    </xf>
    <xf numFmtId="165" fontId="22" fillId="4" borderId="1" xfId="2" applyNumberFormat="1" applyFont="1" applyFill="1" applyBorder="1" applyAlignment="1">
      <alignment vertical="center"/>
    </xf>
    <xf numFmtId="0" fontId="25" fillId="0" borderId="0" xfId="2" applyFont="1" applyAlignment="1">
      <alignment vertical="center"/>
    </xf>
    <xf numFmtId="0" fontId="22" fillId="0" borderId="1" xfId="2" applyFont="1" applyBorder="1" applyAlignment="1">
      <alignment vertical="center" wrapText="1"/>
    </xf>
    <xf numFmtId="0" fontId="20" fillId="0" borderId="1" xfId="2" applyFont="1" applyBorder="1" applyAlignment="1">
      <alignment vertical="center" wrapText="1"/>
    </xf>
    <xf numFmtId="49" fontId="22" fillId="4" borderId="1" xfId="2" applyNumberFormat="1" applyFont="1" applyFill="1" applyBorder="1" applyAlignment="1">
      <alignment horizontal="left" vertical="center"/>
    </xf>
    <xf numFmtId="49" fontId="20" fillId="4" borderId="1" xfId="2" applyNumberFormat="1" applyFont="1" applyFill="1" applyBorder="1" applyAlignment="1">
      <alignment horizontal="left" vertical="center"/>
    </xf>
    <xf numFmtId="49" fontId="22" fillId="0" borderId="1" xfId="2" applyNumberFormat="1" applyFont="1" applyBorder="1" applyAlignment="1">
      <alignment horizontal="left" vertical="center"/>
    </xf>
    <xf numFmtId="0" fontId="18" fillId="9" borderId="1" xfId="2" applyFont="1" applyFill="1" applyBorder="1" applyAlignment="1">
      <alignment vertical="center"/>
    </xf>
    <xf numFmtId="49" fontId="20" fillId="9" borderId="1" xfId="2" applyNumberFormat="1" applyFont="1" applyFill="1" applyBorder="1" applyAlignment="1">
      <alignment horizontal="left" vertical="center"/>
    </xf>
    <xf numFmtId="49" fontId="20" fillId="0" borderId="1" xfId="2" applyNumberFormat="1" applyFont="1" applyBorder="1" applyAlignment="1">
      <alignment horizontal="left" vertical="center"/>
    </xf>
    <xf numFmtId="49" fontId="20" fillId="0" borderId="1" xfId="2" applyNumberFormat="1" applyFont="1" applyBorder="1" applyAlignment="1">
      <alignment vertical="center"/>
    </xf>
    <xf numFmtId="49" fontId="22" fillId="0" borderId="1" xfId="2" applyNumberFormat="1" applyFont="1" applyBorder="1" applyAlignment="1">
      <alignment vertical="center"/>
    </xf>
    <xf numFmtId="49" fontId="20" fillId="6" borderId="1" xfId="2" applyNumberFormat="1" applyFont="1" applyFill="1" applyBorder="1" applyAlignment="1">
      <alignment horizontal="center" vertical="center"/>
    </xf>
    <xf numFmtId="0" fontId="20" fillId="6" borderId="1" xfId="2" applyFont="1" applyFill="1" applyBorder="1" applyAlignment="1">
      <alignment horizontal="right" vertical="center"/>
    </xf>
    <xf numFmtId="49" fontId="20" fillId="6" borderId="1" xfId="2" applyNumberFormat="1" applyFont="1" applyFill="1" applyBorder="1" applyAlignment="1">
      <alignment horizontal="right" vertical="center"/>
    </xf>
    <xf numFmtId="49" fontId="20" fillId="6" borderId="1" xfId="2" applyNumberFormat="1" applyFont="1" applyFill="1" applyBorder="1" applyAlignment="1">
      <alignment vertical="center"/>
    </xf>
    <xf numFmtId="49" fontId="20" fillId="7" borderId="1" xfId="2" applyNumberFormat="1" applyFont="1" applyFill="1" applyBorder="1" applyAlignment="1">
      <alignment vertical="center" wrapText="1"/>
    </xf>
    <xf numFmtId="49" fontId="20" fillId="0" borderId="1" xfId="2" applyNumberFormat="1" applyFont="1" applyBorder="1" applyAlignment="1">
      <alignment vertical="center" wrapText="1"/>
    </xf>
    <xf numFmtId="49" fontId="20" fillId="4" borderId="1" xfId="2" applyNumberFormat="1" applyFont="1" applyFill="1" applyBorder="1" applyAlignment="1">
      <alignment vertical="center"/>
    </xf>
    <xf numFmtId="49" fontId="22" fillId="4" borderId="1" xfId="2" applyNumberFormat="1" applyFont="1" applyFill="1" applyBorder="1" applyAlignment="1">
      <alignment vertical="center"/>
    </xf>
    <xf numFmtId="0" fontId="25" fillId="0" borderId="1" xfId="2" applyFont="1" applyBorder="1" applyAlignment="1">
      <alignment vertical="center"/>
    </xf>
    <xf numFmtId="0" fontId="25" fillId="4" borderId="1" xfId="2" applyFont="1" applyFill="1" applyBorder="1" applyAlignment="1">
      <alignment horizontal="center" vertical="center"/>
    </xf>
    <xf numFmtId="165" fontId="25" fillId="5" borderId="1" xfId="2" applyNumberFormat="1" applyFont="1" applyFill="1" applyBorder="1" applyAlignment="1">
      <alignment horizontal="right" vertical="center" wrapText="1"/>
    </xf>
    <xf numFmtId="49" fontId="25" fillId="5" borderId="1" xfId="2" applyNumberFormat="1" applyFont="1" applyFill="1" applyBorder="1" applyAlignment="1">
      <alignment horizontal="right" vertical="center"/>
    </xf>
    <xf numFmtId="49" fontId="25" fillId="5" borderId="1" xfId="2" applyNumberFormat="1" applyFont="1" applyFill="1" applyBorder="1" applyAlignment="1">
      <alignment vertical="center"/>
    </xf>
    <xf numFmtId="165" fontId="25" fillId="8" borderId="1" xfId="2" applyNumberFormat="1" applyFont="1" applyFill="1" applyBorder="1" applyAlignment="1">
      <alignment horizontal="right" vertical="center" wrapText="1"/>
    </xf>
    <xf numFmtId="165" fontId="30" fillId="6" borderId="1" xfId="2" applyNumberFormat="1" applyFont="1" applyFill="1" applyBorder="1" applyAlignment="1">
      <alignment horizontal="right" vertical="center" wrapText="1"/>
    </xf>
    <xf numFmtId="165" fontId="22" fillId="0" borderId="1" xfId="2" applyNumberFormat="1" applyFont="1" applyBorder="1" applyAlignment="1">
      <alignment vertical="center"/>
    </xf>
    <xf numFmtId="165" fontId="20" fillId="0" borderId="1" xfId="2" applyNumberFormat="1" applyFont="1" applyBorder="1" applyAlignment="1">
      <alignment vertical="center"/>
    </xf>
    <xf numFmtId="165" fontId="20" fillId="7" borderId="1" xfId="2" applyNumberFormat="1" applyFont="1" applyFill="1" applyBorder="1" applyAlignment="1">
      <alignment vertical="center"/>
    </xf>
    <xf numFmtId="0" fontId="20" fillId="10" borderId="1" xfId="2" applyFont="1" applyFill="1" applyBorder="1" applyAlignment="1">
      <alignment vertical="center"/>
    </xf>
    <xf numFmtId="165" fontId="20" fillId="6" borderId="1" xfId="2" applyNumberFormat="1" applyFont="1" applyFill="1" applyBorder="1" applyAlignment="1">
      <alignment vertical="center"/>
    </xf>
    <xf numFmtId="165" fontId="20" fillId="6" borderId="1" xfId="2" applyNumberFormat="1" applyFont="1" applyFill="1" applyBorder="1" applyAlignment="1">
      <alignment horizontal="right" vertical="center"/>
    </xf>
    <xf numFmtId="0" fontId="21" fillId="10" borderId="1" xfId="2" applyFont="1" applyFill="1" applyBorder="1" applyAlignment="1">
      <alignment horizontal="center" vertical="center"/>
    </xf>
    <xf numFmtId="49" fontId="22" fillId="10" borderId="1" xfId="2" applyNumberFormat="1" applyFont="1" applyFill="1" applyBorder="1" applyAlignment="1">
      <alignment horizontal="right" vertical="center"/>
    </xf>
    <xf numFmtId="0" fontId="22" fillId="10" borderId="1" xfId="2" applyFont="1" applyFill="1" applyBorder="1" applyAlignment="1">
      <alignment vertical="center"/>
    </xf>
    <xf numFmtId="0" fontId="21" fillId="0" borderId="1" xfId="2" applyFont="1" applyBorder="1" applyAlignment="1">
      <alignment horizontal="center" vertical="center"/>
    </xf>
    <xf numFmtId="0" fontId="21" fillId="2" borderId="1" xfId="2" applyFont="1" applyFill="1" applyBorder="1" applyAlignment="1">
      <alignment horizontal="center" vertical="center"/>
    </xf>
    <xf numFmtId="0" fontId="26" fillId="2" borderId="1" xfId="2" applyFont="1" applyFill="1" applyBorder="1" applyAlignment="1">
      <alignment horizontal="center" vertical="center"/>
    </xf>
    <xf numFmtId="0" fontId="30" fillId="2" borderId="1" xfId="2" applyFont="1" applyFill="1" applyBorder="1" applyAlignment="1">
      <alignment horizontal="center" vertical="center"/>
    </xf>
    <xf numFmtId="49" fontId="25" fillId="3" borderId="1" xfId="2" applyNumberFormat="1" applyFont="1" applyFill="1" applyBorder="1" applyAlignment="1">
      <alignment horizontal="right" vertical="center"/>
    </xf>
    <xf numFmtId="49" fontId="20" fillId="0" borderId="8" xfId="2" applyNumberFormat="1" applyFont="1" applyBorder="1" applyAlignment="1">
      <alignment horizontal="center" vertical="center"/>
    </xf>
    <xf numFmtId="49" fontId="20" fillId="0" borderId="8" xfId="2" applyNumberFormat="1" applyFont="1" applyBorder="1" applyAlignment="1">
      <alignment horizontal="right" vertical="center"/>
    </xf>
    <xf numFmtId="0" fontId="20" fillId="0" borderId="8" xfId="2" applyFont="1" applyBorder="1" applyAlignment="1">
      <alignment vertical="center"/>
    </xf>
    <xf numFmtId="49" fontId="20" fillId="0" borderId="8" xfId="2" applyNumberFormat="1" applyFont="1" applyBorder="1" applyAlignment="1">
      <alignment vertical="center"/>
    </xf>
    <xf numFmtId="49" fontId="22" fillId="0" borderId="8" xfId="2" applyNumberFormat="1" applyFont="1" applyBorder="1" applyAlignment="1">
      <alignment horizontal="center" vertical="center"/>
    </xf>
    <xf numFmtId="0" fontId="20" fillId="2" borderId="1" xfId="2" applyFont="1" applyFill="1" applyBorder="1" applyAlignment="1">
      <alignment vertical="center"/>
    </xf>
    <xf numFmtId="0" fontId="22" fillId="2" borderId="1" xfId="2" applyFont="1" applyFill="1" applyBorder="1" applyAlignment="1">
      <alignment vertical="center"/>
    </xf>
    <xf numFmtId="0" fontId="22" fillId="2" borderId="3" xfId="2" applyFont="1" applyFill="1" applyBorder="1" applyAlignment="1">
      <alignment vertical="center"/>
    </xf>
    <xf numFmtId="49" fontId="20" fillId="0" borderId="3" xfId="2" applyNumberFormat="1" applyFont="1" applyBorder="1" applyAlignment="1">
      <alignment horizontal="right" vertical="center"/>
    </xf>
    <xf numFmtId="165" fontId="20" fillId="4" borderId="3" xfId="2" applyNumberFormat="1" applyFont="1" applyFill="1" applyBorder="1" applyAlignment="1">
      <alignment horizontal="right" vertical="center"/>
    </xf>
    <xf numFmtId="0" fontId="22" fillId="0" borderId="3" xfId="2" applyFont="1" applyBorder="1" applyAlignment="1">
      <alignment vertical="center"/>
    </xf>
    <xf numFmtId="165" fontId="22" fillId="4" borderId="3" xfId="2" applyNumberFormat="1" applyFont="1" applyFill="1" applyBorder="1" applyAlignment="1">
      <alignment horizontal="right" vertical="center"/>
    </xf>
    <xf numFmtId="49" fontId="25" fillId="3" borderId="3" xfId="2" applyNumberFormat="1" applyFont="1" applyFill="1" applyBorder="1" applyAlignment="1">
      <alignment horizontal="right" vertical="center"/>
    </xf>
    <xf numFmtId="49" fontId="25" fillId="5" borderId="3" xfId="2" applyNumberFormat="1" applyFont="1" applyFill="1" applyBorder="1" applyAlignment="1">
      <alignment horizontal="right" vertical="center"/>
    </xf>
    <xf numFmtId="49" fontId="25" fillId="5" borderId="3" xfId="2" applyNumberFormat="1" applyFont="1" applyFill="1" applyBorder="1" applyAlignment="1">
      <alignment vertical="center" wrapText="1"/>
    </xf>
    <xf numFmtId="165" fontId="22" fillId="0" borderId="0" xfId="2" applyNumberFormat="1" applyFont="1" applyAlignment="1">
      <alignment horizontal="center" vertical="center"/>
    </xf>
    <xf numFmtId="165" fontId="20" fillId="4" borderId="27" xfId="2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vertical="center" wrapText="1"/>
    </xf>
    <xf numFmtId="0" fontId="8" fillId="2" borderId="1" xfId="2" applyFont="1" applyFill="1" applyBorder="1" applyAlignment="1">
      <alignment vertical="center" wrapText="1"/>
    </xf>
    <xf numFmtId="3" fontId="15" fillId="0" borderId="0" xfId="2" applyNumberFormat="1" applyFont="1" applyAlignment="1">
      <alignment vertical="center"/>
    </xf>
    <xf numFmtId="0" fontId="23" fillId="3" borderId="1" xfId="3" applyNumberFormat="1" applyFont="1" applyFill="1" applyBorder="1" applyAlignment="1">
      <alignment horizontal="center" vertical="center" wrapText="1"/>
    </xf>
    <xf numFmtId="0" fontId="23" fillId="6" borderId="8" xfId="2" applyFont="1" applyFill="1" applyBorder="1" applyAlignment="1">
      <alignment horizontal="center" vertical="center" wrapText="1"/>
    </xf>
    <xf numFmtId="165" fontId="20" fillId="6" borderId="8" xfId="3" applyNumberFormat="1" applyFont="1" applyFill="1" applyBorder="1" applyAlignment="1">
      <alignment horizontal="center" vertical="center" wrapText="1"/>
    </xf>
    <xf numFmtId="49" fontId="20" fillId="6" borderId="1" xfId="2" applyNumberFormat="1" applyFont="1" applyFill="1" applyBorder="1" applyAlignment="1">
      <alignment horizontal="left" vertical="center"/>
    </xf>
    <xf numFmtId="0" fontId="23" fillId="3" borderId="8" xfId="2" applyFont="1" applyFill="1" applyBorder="1" applyAlignment="1">
      <alignment horizontal="center" vertical="center" wrapText="1"/>
    </xf>
    <xf numFmtId="0" fontId="20" fillId="3" borderId="8" xfId="2" applyFont="1" applyFill="1" applyBorder="1" applyAlignment="1">
      <alignment horizontal="left" vertical="center" wrapText="1"/>
    </xf>
    <xf numFmtId="0" fontId="23" fillId="3" borderId="8" xfId="3" applyNumberFormat="1" applyFont="1" applyFill="1" applyBorder="1" applyAlignment="1">
      <alignment horizontal="center" vertical="center" wrapText="1"/>
    </xf>
    <xf numFmtId="0" fontId="22" fillId="0" borderId="1" xfId="4" applyFont="1" applyBorder="1" applyAlignment="1">
      <alignment vertical="center"/>
    </xf>
    <xf numFmtId="0" fontId="22" fillId="0" borderId="1" xfId="4" applyFont="1" applyBorder="1" applyAlignment="1">
      <alignment vertical="center" wrapText="1"/>
    </xf>
    <xf numFmtId="0" fontId="20" fillId="0" borderId="1" xfId="4" applyFont="1" applyBorder="1" applyAlignment="1">
      <alignment vertical="center" wrapText="1"/>
    </xf>
    <xf numFmtId="49" fontId="22" fillId="4" borderId="1" xfId="4" applyNumberFormat="1" applyFont="1" applyFill="1" applyBorder="1" applyAlignment="1">
      <alignment horizontal="left" vertical="center"/>
    </xf>
    <xf numFmtId="0" fontId="22" fillId="4" borderId="1" xfId="4" applyFont="1" applyFill="1" applyBorder="1" applyAlignment="1">
      <alignment horizontal="right" vertical="center"/>
    </xf>
    <xf numFmtId="49" fontId="22" fillId="0" borderId="1" xfId="4" applyNumberFormat="1" applyFont="1" applyBorder="1" applyAlignment="1">
      <alignment horizontal="left" vertical="center"/>
    </xf>
    <xf numFmtId="0" fontId="22" fillId="0" borderId="1" xfId="4" applyFont="1" applyBorder="1" applyAlignment="1">
      <alignment horizontal="right" vertical="center"/>
    </xf>
    <xf numFmtId="0" fontId="20" fillId="9" borderId="1" xfId="2" applyFont="1" applyFill="1" applyBorder="1"/>
    <xf numFmtId="0" fontId="20" fillId="0" borderId="1" xfId="2" applyFont="1" applyBorder="1"/>
    <xf numFmtId="0" fontId="20" fillId="0" borderId="1" xfId="4" applyFont="1" applyBorder="1" applyAlignment="1">
      <alignment horizontal="right" vertical="center"/>
    </xf>
    <xf numFmtId="49" fontId="20" fillId="0" borderId="1" xfId="4" applyNumberFormat="1" applyFont="1" applyBorder="1" applyAlignment="1">
      <alignment horizontal="left" vertical="center"/>
    </xf>
    <xf numFmtId="49" fontId="22" fillId="4" borderId="1" xfId="4" applyNumberFormat="1" applyFont="1" applyFill="1" applyBorder="1" applyAlignment="1">
      <alignment vertical="center"/>
    </xf>
    <xf numFmtId="49" fontId="23" fillId="0" borderId="1" xfId="2" applyNumberFormat="1" applyFont="1" applyBorder="1" applyAlignment="1">
      <alignment horizontal="right" vertical="center"/>
    </xf>
    <xf numFmtId="0" fontId="14" fillId="10" borderId="1" xfId="2" applyFont="1" applyFill="1" applyBorder="1" applyAlignment="1">
      <alignment horizontal="center" vertical="center"/>
    </xf>
    <xf numFmtId="49" fontId="14" fillId="6" borderId="1" xfId="2" applyNumberFormat="1" applyFont="1" applyFill="1" applyBorder="1" applyAlignment="1">
      <alignment horizontal="right" vertical="center"/>
    </xf>
    <xf numFmtId="0" fontId="20" fillId="2" borderId="3" xfId="2" applyFont="1" applyFill="1" applyBorder="1" applyAlignment="1">
      <alignment vertical="center"/>
    </xf>
    <xf numFmtId="0" fontId="23" fillId="10" borderId="18" xfId="1" applyFont="1" applyFill="1" applyBorder="1" applyAlignment="1">
      <alignment horizontal="center" vertical="center" wrapText="1"/>
    </xf>
    <xf numFmtId="165" fontId="23" fillId="6" borderId="24" xfId="2" applyNumberFormat="1" applyFont="1" applyFill="1" applyBorder="1" applyAlignment="1">
      <alignment horizontal="right" vertical="center" wrapText="1"/>
    </xf>
    <xf numFmtId="49" fontId="20" fillId="0" borderId="18" xfId="7" applyNumberFormat="1" applyFont="1" applyBorder="1" applyAlignment="1">
      <alignment vertical="center" wrapText="1"/>
    </xf>
    <xf numFmtId="165" fontId="20" fillId="0" borderId="24" xfId="7" applyNumberFormat="1" applyFont="1" applyBorder="1" applyAlignment="1">
      <alignment horizontal="right" vertical="center"/>
    </xf>
    <xf numFmtId="49" fontId="22" fillId="0" borderId="18" xfId="7" applyNumberFormat="1" applyFont="1" applyBorder="1" applyAlignment="1">
      <alignment vertical="center" wrapText="1"/>
    </xf>
    <xf numFmtId="165" fontId="22" fillId="0" borderId="24" xfId="7" applyNumberFormat="1" applyFont="1" applyBorder="1" applyAlignment="1">
      <alignment horizontal="right" vertical="center"/>
    </xf>
    <xf numFmtId="49" fontId="20" fillId="0" borderId="19" xfId="7" applyNumberFormat="1" applyFont="1" applyBorder="1" applyAlignment="1">
      <alignment vertical="center" wrapText="1"/>
    </xf>
    <xf numFmtId="165" fontId="22" fillId="0" borderId="1" xfId="7" applyNumberFormat="1" applyFont="1" applyBorder="1" applyAlignment="1">
      <alignment horizontal="right" vertical="center"/>
    </xf>
    <xf numFmtId="0" fontId="23" fillId="0" borderId="8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/>
    </xf>
    <xf numFmtId="49" fontId="22" fillId="0" borderId="3" xfId="2" applyNumberFormat="1" applyFont="1" applyBorder="1" applyAlignment="1">
      <alignment horizontal="left" vertical="center" wrapText="1"/>
    </xf>
    <xf numFmtId="44" fontId="22" fillId="0" borderId="3" xfId="2" applyNumberFormat="1" applyFont="1" applyBorder="1" applyAlignment="1">
      <alignment horizontal="right" vertical="center"/>
    </xf>
    <xf numFmtId="44" fontId="20" fillId="10" borderId="1" xfId="2" applyNumberFormat="1" applyFont="1" applyFill="1" applyBorder="1" applyAlignment="1">
      <alignment horizontal="left" vertical="center" wrapText="1"/>
    </xf>
    <xf numFmtId="44" fontId="20" fillId="9" borderId="1" xfId="2" applyNumberFormat="1" applyFont="1" applyFill="1" applyBorder="1" applyAlignment="1">
      <alignment horizontal="left" vertical="center" wrapText="1"/>
    </xf>
    <xf numFmtId="44" fontId="20" fillId="0" borderId="1" xfId="2" applyNumberFormat="1" applyFont="1" applyBorder="1" applyAlignment="1">
      <alignment horizontal="left" vertical="center" wrapText="1"/>
    </xf>
    <xf numFmtId="44" fontId="20" fillId="0" borderId="1" xfId="2" applyNumberFormat="1" applyFont="1" applyBorder="1" applyAlignment="1">
      <alignment horizontal="right" vertical="center"/>
    </xf>
    <xf numFmtId="44" fontId="20" fillId="0" borderId="3" xfId="2" applyNumberFormat="1" applyFont="1" applyBorder="1" applyAlignment="1">
      <alignment horizontal="left" vertical="center" wrapText="1"/>
    </xf>
    <xf numFmtId="165" fontId="21" fillId="9" borderId="1" xfId="2" applyNumberFormat="1" applyFont="1" applyFill="1" applyBorder="1" applyAlignment="1">
      <alignment horizontal="right" vertical="center"/>
    </xf>
    <xf numFmtId="165" fontId="21" fillId="0" borderId="1" xfId="2" applyNumberFormat="1" applyFont="1" applyBorder="1" applyAlignment="1">
      <alignment horizontal="right" vertical="center"/>
    </xf>
    <xf numFmtId="165" fontId="26" fillId="0" borderId="1" xfId="2" applyNumberFormat="1" applyFont="1" applyBorder="1" applyAlignment="1">
      <alignment horizontal="right" vertical="center"/>
    </xf>
    <xf numFmtId="0" fontId="5" fillId="0" borderId="9" xfId="0" quotePrefix="1" applyFont="1" applyBorder="1" applyAlignment="1">
      <alignment horizontal="center" vertical="center" wrapText="1"/>
    </xf>
    <xf numFmtId="3" fontId="24" fillId="0" borderId="0" xfId="4" applyNumberFormat="1" applyFont="1" applyAlignment="1">
      <alignment horizontal="left"/>
    </xf>
    <xf numFmtId="3" fontId="23" fillId="2" borderId="0" xfId="4" applyNumberFormat="1" applyFont="1" applyFill="1" applyAlignment="1">
      <alignment vertical="center"/>
    </xf>
    <xf numFmtId="165" fontId="23" fillId="2" borderId="0" xfId="4" applyNumberFormat="1" applyFont="1" applyFill="1" applyAlignment="1">
      <alignment vertical="center"/>
    </xf>
    <xf numFmtId="3" fontId="23" fillId="0" borderId="0" xfId="4" applyNumberFormat="1" applyFont="1"/>
    <xf numFmtId="0" fontId="20" fillId="3" borderId="1" xfId="4" applyFont="1" applyFill="1" applyBorder="1" applyAlignment="1">
      <alignment horizontal="center" vertical="center" wrapText="1"/>
    </xf>
    <xf numFmtId="165" fontId="20" fillId="0" borderId="1" xfId="4" applyNumberFormat="1" applyFont="1" applyBorder="1" applyAlignment="1">
      <alignment horizontal="right" vertical="center" wrapText="1"/>
    </xf>
    <xf numFmtId="3" fontId="20" fillId="0" borderId="0" xfId="4" applyNumberFormat="1" applyFont="1"/>
    <xf numFmtId="3" fontId="23" fillId="13" borderId="1" xfId="4" applyNumberFormat="1" applyFont="1" applyFill="1" applyBorder="1" applyAlignment="1">
      <alignment horizontal="left" vertical="center"/>
    </xf>
    <xf numFmtId="3" fontId="23" fillId="13" borderId="1" xfId="4" applyNumberFormat="1" applyFont="1" applyFill="1" applyBorder="1" applyAlignment="1">
      <alignment horizontal="left" vertical="center" wrapText="1"/>
    </xf>
    <xf numFmtId="165" fontId="23" fillId="14" borderId="1" xfId="4" applyNumberFormat="1" applyFont="1" applyFill="1" applyBorder="1" applyAlignment="1">
      <alignment horizontal="right" vertical="center" wrapText="1"/>
    </xf>
    <xf numFmtId="3" fontId="25" fillId="5" borderId="1" xfId="4" applyNumberFormat="1" applyFont="1" applyFill="1" applyBorder="1" applyAlignment="1">
      <alignment horizontal="left" vertical="center"/>
    </xf>
    <xf numFmtId="49" fontId="25" fillId="8" borderId="1" xfId="4" applyNumberFormat="1" applyFont="1" applyFill="1" applyBorder="1" applyAlignment="1">
      <alignment horizontal="left" vertical="center" wrapText="1"/>
    </xf>
    <xf numFmtId="165" fontId="25" fillId="8" borderId="1" xfId="4" applyNumberFormat="1" applyFont="1" applyFill="1" applyBorder="1" applyAlignment="1">
      <alignment horizontal="right" vertical="center" wrapText="1"/>
    </xf>
    <xf numFmtId="3" fontId="25" fillId="0" borderId="0" xfId="4" applyNumberFormat="1" applyFont="1"/>
    <xf numFmtId="0" fontId="20" fillId="6" borderId="1" xfId="4" applyFont="1" applyFill="1" applyBorder="1" applyAlignment="1">
      <alignment horizontal="center" vertical="center"/>
    </xf>
    <xf numFmtId="49" fontId="20" fillId="6" borderId="1" xfId="4" applyNumberFormat="1" applyFont="1" applyFill="1" applyBorder="1" applyAlignment="1">
      <alignment vertical="center"/>
    </xf>
    <xf numFmtId="165" fontId="20" fillId="10" borderId="1" xfId="4" applyNumberFormat="1" applyFont="1" applyFill="1" applyBorder="1" applyAlignment="1">
      <alignment horizontal="right" vertical="center" wrapText="1"/>
    </xf>
    <xf numFmtId="3" fontId="20" fillId="0" borderId="0" xfId="4" applyNumberFormat="1" applyFont="1" applyAlignment="1">
      <alignment horizontal="center" vertical="center" wrapText="1"/>
    </xf>
    <xf numFmtId="3" fontId="22" fillId="0" borderId="0" xfId="4" applyNumberFormat="1" applyFont="1"/>
    <xf numFmtId="3" fontId="24" fillId="0" borderId="0" xfId="4" applyNumberFormat="1" applyFont="1"/>
    <xf numFmtId="3" fontId="22" fillId="0" borderId="0" xfId="4" applyNumberFormat="1" applyFont="1" applyAlignment="1">
      <alignment horizontal="center" vertical="center" wrapText="1"/>
    </xf>
    <xf numFmtId="3" fontId="12" fillId="0" borderId="0" xfId="4" applyNumberFormat="1" applyFont="1"/>
    <xf numFmtId="3" fontId="31" fillId="0" borderId="0" xfId="4" applyNumberFormat="1" applyFont="1"/>
    <xf numFmtId="3" fontId="32" fillId="0" borderId="0" xfId="4" applyNumberFormat="1" applyFont="1"/>
    <xf numFmtId="3" fontId="20" fillId="0" borderId="0" xfId="4" applyNumberFormat="1" applyFont="1" applyAlignment="1">
      <alignment vertical="center"/>
    </xf>
    <xf numFmtId="3" fontId="22" fillId="0" borderId="0" xfId="4" applyNumberFormat="1" applyFont="1" applyAlignment="1">
      <alignment vertical="center"/>
    </xf>
    <xf numFmtId="3" fontId="23" fillId="0" borderId="0" xfId="4" applyNumberFormat="1" applyFont="1" applyAlignment="1">
      <alignment vertical="center"/>
    </xf>
    <xf numFmtId="3" fontId="24" fillId="0" borderId="0" xfId="4" applyNumberFormat="1" applyFont="1" applyAlignment="1">
      <alignment vertical="center"/>
    </xf>
    <xf numFmtId="165" fontId="22" fillId="0" borderId="1" xfId="4" applyNumberFormat="1" applyFont="1" applyBorder="1" applyAlignment="1">
      <alignment horizontal="right" vertical="center" wrapText="1"/>
    </xf>
    <xf numFmtId="4" fontId="22" fillId="0" borderId="0" xfId="4" applyNumberFormat="1" applyFont="1"/>
    <xf numFmtId="3" fontId="27" fillId="0" borderId="0" xfId="4" applyNumberFormat="1" applyFont="1"/>
    <xf numFmtId="3" fontId="8" fillId="0" borderId="0" xfId="4" applyNumberFormat="1" applyFont="1"/>
    <xf numFmtId="165" fontId="20" fillId="9" borderId="1" xfId="4" applyNumberFormat="1" applyFont="1" applyFill="1" applyBorder="1" applyAlignment="1">
      <alignment horizontal="right" vertical="center" wrapText="1"/>
    </xf>
    <xf numFmtId="3" fontId="22" fillId="0" borderId="1" xfId="4" applyNumberFormat="1" applyFont="1" applyBorder="1" applyAlignment="1">
      <alignment vertical="center"/>
    </xf>
    <xf numFmtId="165" fontId="22" fillId="0" borderId="1" xfId="4" applyNumberFormat="1" applyFont="1" applyBorder="1" applyAlignment="1">
      <alignment vertical="center"/>
    </xf>
    <xf numFmtId="165" fontId="22" fillId="0" borderId="0" xfId="4" applyNumberFormat="1" applyFont="1" applyAlignment="1">
      <alignment vertical="center"/>
    </xf>
    <xf numFmtId="165" fontId="23" fillId="0" borderId="0" xfId="4" applyNumberFormat="1" applyFont="1" applyAlignment="1">
      <alignment horizontal="right" vertical="center"/>
    </xf>
    <xf numFmtId="3" fontId="20" fillId="3" borderId="1" xfId="4" applyNumberFormat="1" applyFont="1" applyFill="1" applyBorder="1" applyAlignment="1">
      <alignment horizontal="left" vertical="center"/>
    </xf>
    <xf numFmtId="0" fontId="20" fillId="3" borderId="1" xfId="4" applyFont="1" applyFill="1" applyBorder="1" applyAlignment="1">
      <alignment horizontal="left" vertical="center" wrapText="1"/>
    </xf>
    <xf numFmtId="49" fontId="20" fillId="7" borderId="1" xfId="4" applyNumberFormat="1" applyFont="1" applyFill="1" applyBorder="1" applyAlignment="1">
      <alignment horizontal="right" vertical="center"/>
    </xf>
    <xf numFmtId="49" fontId="20" fillId="7" borderId="1" xfId="4" applyNumberFormat="1" applyFont="1" applyFill="1" applyBorder="1" applyAlignment="1">
      <alignment vertical="center"/>
    </xf>
    <xf numFmtId="49" fontId="20" fillId="0" borderId="1" xfId="4" applyNumberFormat="1" applyFont="1" applyBorder="1" applyAlignment="1">
      <alignment horizontal="right" vertical="center"/>
    </xf>
    <xf numFmtId="0" fontId="20" fillId="0" borderId="1" xfId="4" applyFont="1" applyBorder="1" applyAlignment="1">
      <alignment vertical="center"/>
    </xf>
    <xf numFmtId="49" fontId="22" fillId="0" borderId="1" xfId="4" applyNumberFormat="1" applyFont="1" applyBorder="1" applyAlignment="1">
      <alignment horizontal="right" vertical="center"/>
    </xf>
    <xf numFmtId="165" fontId="22" fillId="0" borderId="1" xfId="0" applyNumberFormat="1" applyFont="1" applyBorder="1" applyAlignment="1">
      <alignment horizontal="right"/>
    </xf>
    <xf numFmtId="165" fontId="20" fillId="0" borderId="1" xfId="0" applyNumberFormat="1" applyFont="1" applyBorder="1" applyAlignment="1">
      <alignment horizontal="right"/>
    </xf>
    <xf numFmtId="49" fontId="20" fillId="4" borderId="1" xfId="4" applyNumberFormat="1" applyFont="1" applyFill="1" applyBorder="1" applyAlignment="1">
      <alignment horizontal="right" vertical="center"/>
    </xf>
    <xf numFmtId="49" fontId="22" fillId="4" borderId="1" xfId="4" applyNumberFormat="1" applyFont="1" applyFill="1" applyBorder="1" applyAlignment="1">
      <alignment horizontal="right" vertical="center"/>
    </xf>
    <xf numFmtId="0" fontId="20" fillId="4" borderId="1" xfId="4" applyFont="1" applyFill="1" applyBorder="1" applyAlignment="1">
      <alignment horizontal="right" vertical="center"/>
    </xf>
    <xf numFmtId="49" fontId="20" fillId="4" borderId="1" xfId="4" applyNumberFormat="1" applyFont="1" applyFill="1" applyBorder="1" applyAlignment="1">
      <alignment horizontal="left" vertical="center"/>
    </xf>
    <xf numFmtId="49" fontId="20" fillId="4" borderId="1" xfId="4" applyNumberFormat="1" applyFont="1" applyFill="1" applyBorder="1" applyAlignment="1">
      <alignment horizontal="left" vertical="center" wrapText="1"/>
    </xf>
    <xf numFmtId="49" fontId="22" fillId="4" borderId="1" xfId="4" applyNumberFormat="1" applyFont="1" applyFill="1" applyBorder="1" applyAlignment="1">
      <alignment horizontal="left" vertical="center" wrapText="1"/>
    </xf>
    <xf numFmtId="165" fontId="22" fillId="0" borderId="1" xfId="0" applyNumberFormat="1" applyFont="1" applyBorder="1" applyAlignment="1">
      <alignment horizontal="right" vertical="center"/>
    </xf>
    <xf numFmtId="165" fontId="20" fillId="0" borderId="1" xfId="0" applyNumberFormat="1" applyFont="1" applyBorder="1" applyAlignment="1">
      <alignment horizontal="right" vertical="center"/>
    </xf>
    <xf numFmtId="0" fontId="20" fillId="9" borderId="1" xfId="4" applyFont="1" applyFill="1" applyBorder="1" applyAlignment="1">
      <alignment horizontal="right" vertical="center"/>
    </xf>
    <xf numFmtId="49" fontId="20" fillId="9" borderId="1" xfId="4" applyNumberFormat="1" applyFont="1" applyFill="1" applyBorder="1" applyAlignment="1">
      <alignment horizontal="left" vertical="center"/>
    </xf>
    <xf numFmtId="165" fontId="20" fillId="9" borderId="1" xfId="0" applyNumberFormat="1" applyFont="1" applyFill="1" applyBorder="1" applyAlignment="1">
      <alignment horizontal="right"/>
    </xf>
    <xf numFmtId="49" fontId="20" fillId="0" borderId="1" xfId="4" applyNumberFormat="1" applyFont="1" applyBorder="1" applyAlignment="1">
      <alignment vertical="center"/>
    </xf>
    <xf numFmtId="49" fontId="20" fillId="7" borderId="1" xfId="4" applyNumberFormat="1" applyFont="1" applyFill="1" applyBorder="1" applyAlignment="1">
      <alignment vertical="center" wrapText="1"/>
    </xf>
    <xf numFmtId="49" fontId="20" fillId="0" borderId="1" xfId="4" applyNumberFormat="1" applyFont="1" applyBorder="1" applyAlignment="1">
      <alignment vertical="center" wrapText="1"/>
    </xf>
    <xf numFmtId="49" fontId="22" fillId="0" borderId="1" xfId="4" applyNumberFormat="1" applyFont="1" applyBorder="1" applyAlignment="1">
      <alignment vertical="center" wrapText="1"/>
    </xf>
    <xf numFmtId="49" fontId="20" fillId="4" borderId="1" xfId="4" applyNumberFormat="1" applyFont="1" applyFill="1" applyBorder="1" applyAlignment="1">
      <alignment vertical="center"/>
    </xf>
    <xf numFmtId="165" fontId="14" fillId="0" borderId="1" xfId="0" applyNumberFormat="1" applyFont="1" applyBorder="1" applyAlignment="1">
      <alignment horizontal="right"/>
    </xf>
    <xf numFmtId="49" fontId="25" fillId="5" borderId="1" xfId="4" applyNumberFormat="1" applyFont="1" applyFill="1" applyBorder="1" applyAlignment="1">
      <alignment horizontal="left" vertical="center"/>
    </xf>
    <xf numFmtId="49" fontId="25" fillId="5" borderId="1" xfId="4" applyNumberFormat="1" applyFont="1" applyFill="1" applyBorder="1" applyAlignment="1">
      <alignment vertical="center"/>
    </xf>
    <xf numFmtId="49" fontId="20" fillId="6" borderId="1" xfId="4" applyNumberFormat="1" applyFont="1" applyFill="1" applyBorder="1" applyAlignment="1">
      <alignment horizontal="center" vertical="center"/>
    </xf>
    <xf numFmtId="49" fontId="22" fillId="0" borderId="1" xfId="4" applyNumberFormat="1" applyFont="1" applyBorder="1" applyAlignment="1">
      <alignment vertical="center"/>
    </xf>
    <xf numFmtId="165" fontId="10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49" fontId="20" fillId="9" borderId="1" xfId="4" applyNumberFormat="1" applyFont="1" applyFill="1" applyBorder="1" applyAlignment="1">
      <alignment horizontal="right" vertical="center"/>
    </xf>
    <xf numFmtId="0" fontId="20" fillId="9" borderId="1" xfId="4" applyFont="1" applyFill="1" applyBorder="1" applyAlignment="1">
      <alignment vertical="center"/>
    </xf>
    <xf numFmtId="165" fontId="6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49" fontId="20" fillId="10" borderId="1" xfId="4" applyNumberFormat="1" applyFont="1" applyFill="1" applyBorder="1" applyAlignment="1">
      <alignment horizontal="right" vertical="center"/>
    </xf>
    <xf numFmtId="0" fontId="20" fillId="10" borderId="1" xfId="4" applyFont="1" applyFill="1" applyBorder="1" applyAlignment="1">
      <alignment vertical="center"/>
    </xf>
    <xf numFmtId="49" fontId="20" fillId="10" borderId="1" xfId="4" applyNumberFormat="1" applyFont="1" applyFill="1" applyBorder="1" applyAlignment="1">
      <alignment horizontal="center" vertical="center"/>
    </xf>
    <xf numFmtId="49" fontId="25" fillId="5" borderId="1" xfId="4" applyNumberFormat="1" applyFont="1" applyFill="1" applyBorder="1" applyAlignment="1">
      <alignment vertical="center" wrapText="1"/>
    </xf>
    <xf numFmtId="49" fontId="7" fillId="6" borderId="1" xfId="4" applyNumberFormat="1" applyFont="1" applyFill="1" applyBorder="1" applyAlignment="1">
      <alignment horizontal="center" vertical="center"/>
    </xf>
    <xf numFmtId="3" fontId="23" fillId="14" borderId="1" xfId="4" applyNumberFormat="1" applyFont="1" applyFill="1" applyBorder="1" applyAlignment="1">
      <alignment horizontal="left" vertical="center"/>
    </xf>
    <xf numFmtId="3" fontId="23" fillId="14" borderId="1" xfId="4" applyNumberFormat="1" applyFont="1" applyFill="1" applyBorder="1" applyAlignment="1">
      <alignment vertical="center" wrapText="1"/>
    </xf>
    <xf numFmtId="49" fontId="7" fillId="6" borderId="1" xfId="4" applyNumberFormat="1" applyFont="1" applyFill="1" applyBorder="1" applyAlignment="1">
      <alignment vertical="center"/>
    </xf>
    <xf numFmtId="49" fontId="20" fillId="9" borderId="1" xfId="4" applyNumberFormat="1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165" fontId="17" fillId="0" borderId="0" xfId="2" applyNumberFormat="1" applyFont="1"/>
    <xf numFmtId="0" fontId="23" fillId="2" borderId="18" xfId="1" applyFont="1" applyFill="1" applyBorder="1" applyAlignment="1">
      <alignment horizontal="center" vertical="center" wrapText="1"/>
    </xf>
    <xf numFmtId="3" fontId="23" fillId="4" borderId="24" xfId="2" applyNumberFormat="1" applyFont="1" applyFill="1" applyBorder="1" applyAlignment="1">
      <alignment horizontal="center" vertical="center" wrapText="1"/>
    </xf>
    <xf numFmtId="3" fontId="23" fillId="4" borderId="17" xfId="2" applyNumberFormat="1" applyFont="1" applyFill="1" applyBorder="1" applyAlignment="1">
      <alignment horizontal="center" vertical="center" wrapText="1"/>
    </xf>
    <xf numFmtId="3" fontId="23" fillId="4" borderId="16" xfId="2" applyNumberFormat="1" applyFont="1" applyFill="1" applyBorder="1" applyAlignment="1">
      <alignment horizontal="center" vertical="center" wrapText="1"/>
    </xf>
    <xf numFmtId="0" fontId="28" fillId="0" borderId="0" xfId="2" applyFont="1"/>
    <xf numFmtId="165" fontId="23" fillId="6" borderId="17" xfId="2" applyNumberFormat="1" applyFont="1" applyFill="1" applyBorder="1" applyAlignment="1">
      <alignment horizontal="right" vertical="center" wrapText="1"/>
    </xf>
    <xf numFmtId="165" fontId="20" fillId="0" borderId="17" xfId="7" applyNumberFormat="1" applyFont="1" applyBorder="1" applyAlignment="1">
      <alignment horizontal="right" vertical="center"/>
    </xf>
    <xf numFmtId="165" fontId="22" fillId="0" borderId="17" xfId="7" applyNumberFormat="1" applyFont="1" applyBorder="1" applyAlignment="1">
      <alignment horizontal="right" vertical="center"/>
    </xf>
    <xf numFmtId="165" fontId="22" fillId="0" borderId="16" xfId="7" applyNumberFormat="1" applyFont="1" applyBorder="1" applyAlignment="1">
      <alignment horizontal="right" vertical="center"/>
    </xf>
    <xf numFmtId="165" fontId="20" fillId="0" borderId="25" xfId="7" applyNumberFormat="1" applyFont="1" applyBorder="1" applyAlignment="1">
      <alignment horizontal="right" vertical="center"/>
    </xf>
    <xf numFmtId="165" fontId="20" fillId="0" borderId="20" xfId="7" applyNumberFormat="1" applyFont="1" applyBorder="1" applyAlignment="1">
      <alignment horizontal="right" vertical="center"/>
    </xf>
    <xf numFmtId="165" fontId="20" fillId="0" borderId="21" xfId="7" applyNumberFormat="1" applyFont="1" applyBorder="1" applyAlignment="1">
      <alignment horizontal="right" vertical="center"/>
    </xf>
    <xf numFmtId="0" fontId="18" fillId="0" borderId="0" xfId="2" applyFont="1" applyAlignment="1">
      <alignment horizontal="right"/>
    </xf>
    <xf numFmtId="49" fontId="22" fillId="2" borderId="12" xfId="1" applyNumberFormat="1" applyFont="1" applyFill="1" applyBorder="1" applyAlignment="1">
      <alignment vertical="center" wrapText="1"/>
    </xf>
    <xf numFmtId="165" fontId="22" fillId="2" borderId="1" xfId="1" applyNumberFormat="1" applyFont="1" applyFill="1" applyBorder="1" applyAlignment="1">
      <alignment horizontal="right" vertical="center" wrapText="1"/>
    </xf>
    <xf numFmtId="165" fontId="22" fillId="2" borderId="9" xfId="1" applyNumberFormat="1" applyFont="1" applyFill="1" applyBorder="1" applyAlignment="1">
      <alignment horizontal="right" vertical="center" wrapText="1"/>
    </xf>
    <xf numFmtId="0" fontId="17" fillId="0" borderId="0" xfId="2" applyFont="1" applyAlignment="1">
      <alignment horizontal="right"/>
    </xf>
    <xf numFmtId="0" fontId="11" fillId="0" borderId="10" xfId="2" applyFont="1" applyBorder="1"/>
    <xf numFmtId="165" fontId="20" fillId="0" borderId="26" xfId="7" applyNumberFormat="1" applyFont="1" applyBorder="1" applyAlignment="1">
      <alignment horizontal="right" vertical="center"/>
    </xf>
    <xf numFmtId="165" fontId="20" fillId="0" borderId="22" xfId="7" applyNumberFormat="1" applyFont="1" applyBorder="1" applyAlignment="1">
      <alignment horizontal="right" vertical="center"/>
    </xf>
    <xf numFmtId="165" fontId="20" fillId="0" borderId="23" xfId="7" applyNumberFormat="1" applyFont="1" applyBorder="1" applyAlignment="1">
      <alignment horizontal="right" vertical="center"/>
    </xf>
    <xf numFmtId="0" fontId="20" fillId="0" borderId="12" xfId="2" applyFont="1" applyBorder="1"/>
    <xf numFmtId="0" fontId="8" fillId="0" borderId="1" xfId="2" applyFont="1" applyBorder="1" applyAlignment="1">
      <alignment horizontal="right"/>
    </xf>
    <xf numFmtId="0" fontId="7" fillId="0" borderId="1" xfId="2" applyFont="1" applyBorder="1" applyAlignment="1">
      <alignment horizontal="right"/>
    </xf>
    <xf numFmtId="0" fontId="10" fillId="0" borderId="1" xfId="4" applyFont="1" applyBorder="1" applyAlignment="1">
      <alignment vertical="center"/>
    </xf>
    <xf numFmtId="0" fontId="6" fillId="0" borderId="1" xfId="4" applyFont="1" applyBorder="1" applyAlignment="1">
      <alignment vertical="center"/>
    </xf>
    <xf numFmtId="165" fontId="20" fillId="0" borderId="1" xfId="4" applyNumberFormat="1" applyFont="1" applyBorder="1" applyAlignment="1">
      <alignment horizontal="right" wrapText="1"/>
    </xf>
    <xf numFmtId="165" fontId="22" fillId="0" borderId="1" xfId="4" applyNumberFormat="1" applyFont="1" applyBorder="1" applyAlignment="1">
      <alignment horizontal="right" wrapText="1"/>
    </xf>
    <xf numFmtId="0" fontId="7" fillId="12" borderId="1" xfId="2" applyFont="1" applyFill="1" applyBorder="1" applyAlignment="1">
      <alignment wrapText="1"/>
    </xf>
    <xf numFmtId="0" fontId="33" fillId="2" borderId="1" xfId="2" applyFont="1" applyFill="1" applyBorder="1" applyAlignment="1">
      <alignment horizontal="center" vertical="center"/>
    </xf>
    <xf numFmtId="49" fontId="24" fillId="0" borderId="1" xfId="2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right" wrapText="1"/>
    </xf>
    <xf numFmtId="0" fontId="20" fillId="0" borderId="1" xfId="0" applyFont="1" applyBorder="1" applyAlignment="1">
      <alignment wrapText="1"/>
    </xf>
    <xf numFmtId="0" fontId="22" fillId="0" borderId="1" xfId="0" applyFont="1" applyBorder="1" applyAlignment="1">
      <alignment vertical="center"/>
    </xf>
    <xf numFmtId="49" fontId="22" fillId="0" borderId="1" xfId="2" applyNumberFormat="1" applyFont="1" applyBorder="1" applyAlignment="1">
      <alignment horizontal="center" vertical="center"/>
    </xf>
    <xf numFmtId="4" fontId="5" fillId="9" borderId="1" xfId="0" applyNumberFormat="1" applyFont="1" applyFill="1" applyBorder="1" applyAlignment="1">
      <alignment horizontal="right" vertical="center" wrapText="1"/>
    </xf>
    <xf numFmtId="4" fontId="5" fillId="9" borderId="9" xfId="0" applyNumberFormat="1" applyFont="1" applyFill="1" applyBorder="1" applyAlignment="1">
      <alignment horizontal="right" vertical="center" wrapText="1"/>
    </xf>
    <xf numFmtId="4" fontId="7" fillId="9" borderId="9" xfId="0" quotePrefix="1" applyNumberFormat="1" applyFont="1" applyFill="1" applyBorder="1" applyAlignment="1">
      <alignment horizontal="right" vertical="center" wrapText="1"/>
    </xf>
    <xf numFmtId="0" fontId="5" fillId="9" borderId="9" xfId="0" applyFont="1" applyFill="1" applyBorder="1" applyAlignment="1">
      <alignment horizontal="right" vertical="center"/>
    </xf>
    <xf numFmtId="4" fontId="5" fillId="9" borderId="9" xfId="0" applyNumberFormat="1" applyFont="1" applyFill="1" applyBorder="1" applyAlignment="1">
      <alignment horizontal="right" wrapText="1"/>
    </xf>
    <xf numFmtId="2" fontId="10" fillId="4" borderId="1" xfId="2" applyNumberFormat="1" applyFont="1" applyFill="1" applyBorder="1" applyAlignment="1">
      <alignment horizontal="right" vertical="center"/>
    </xf>
    <xf numFmtId="2" fontId="6" fillId="4" borderId="1" xfId="2" applyNumberFormat="1" applyFont="1" applyFill="1" applyBorder="1" applyAlignment="1">
      <alignment horizontal="right" vertical="center"/>
    </xf>
    <xf numFmtId="0" fontId="14" fillId="0" borderId="1" xfId="2" applyFont="1" applyBorder="1" applyAlignment="1">
      <alignment vertical="center"/>
    </xf>
    <xf numFmtId="165" fontId="20" fillId="0" borderId="1" xfId="4" applyNumberFormat="1" applyFont="1" applyBorder="1" applyAlignment="1">
      <alignment vertical="center" wrapText="1"/>
    </xf>
    <xf numFmtId="49" fontId="20" fillId="3" borderId="1" xfId="2" applyNumberFormat="1" applyFont="1" applyFill="1" applyBorder="1" applyAlignment="1">
      <alignment vertical="center"/>
    </xf>
    <xf numFmtId="49" fontId="22" fillId="3" borderId="1" xfId="2" applyNumberFormat="1" applyFont="1" applyFill="1" applyBorder="1" applyAlignment="1">
      <alignment vertical="center"/>
    </xf>
    <xf numFmtId="0" fontId="20" fillId="0" borderId="1" xfId="2" applyFont="1" applyBorder="1" applyAlignment="1">
      <alignment horizontal="left" vertical="center"/>
    </xf>
    <xf numFmtId="165" fontId="20" fillId="0" borderId="1" xfId="2" applyNumberFormat="1" applyFont="1" applyBorder="1" applyAlignment="1">
      <alignment horizontal="center" vertical="center"/>
    </xf>
    <xf numFmtId="0" fontId="17" fillId="0" borderId="3" xfId="2" applyFont="1" applyBorder="1" applyAlignment="1">
      <alignment vertical="center"/>
    </xf>
    <xf numFmtId="0" fontId="27" fillId="0" borderId="1" xfId="2" applyFont="1" applyBorder="1" applyAlignment="1">
      <alignment vertical="center"/>
    </xf>
    <xf numFmtId="0" fontId="22" fillId="0" borderId="1" xfId="2" applyFont="1" applyBorder="1" applyAlignment="1">
      <alignment horizontal="center" vertical="center"/>
    </xf>
    <xf numFmtId="0" fontId="20" fillId="2" borderId="1" xfId="1" applyFont="1" applyFill="1" applyBorder="1" applyAlignment="1">
      <alignment horizontal="center" vertical="center" wrapText="1"/>
    </xf>
    <xf numFmtId="0" fontId="23" fillId="2" borderId="28" xfId="1" applyFont="1" applyFill="1" applyBorder="1" applyAlignment="1">
      <alignment horizontal="center" vertical="center" wrapText="1"/>
    </xf>
    <xf numFmtId="0" fontId="7" fillId="10" borderId="1" xfId="2" applyFont="1" applyFill="1" applyBorder="1" applyAlignment="1">
      <alignment horizontal="left" vertical="center"/>
    </xf>
    <xf numFmtId="49" fontId="20" fillId="7" borderId="1" xfId="4" applyNumberFormat="1" applyFont="1" applyFill="1" applyBorder="1" applyAlignment="1">
      <alignment horizontal="left" vertical="center" wrapText="1"/>
    </xf>
    <xf numFmtId="49" fontId="21" fillId="6" borderId="1" xfId="4" applyNumberFormat="1" applyFont="1" applyFill="1" applyBorder="1" applyAlignment="1">
      <alignment horizontal="center" vertical="center"/>
    </xf>
    <xf numFmtId="49" fontId="21" fillId="6" borderId="1" xfId="4" applyNumberFormat="1" applyFont="1" applyFill="1" applyBorder="1" applyAlignment="1">
      <alignment vertical="center"/>
    </xf>
    <xf numFmtId="165" fontId="22" fillId="0" borderId="1" xfId="2" quotePrefix="1" applyNumberFormat="1" applyFont="1" applyBorder="1" applyAlignment="1">
      <alignment vertical="center"/>
    </xf>
    <xf numFmtId="0" fontId="25" fillId="0" borderId="8" xfId="2" applyFont="1" applyBorder="1" applyAlignment="1">
      <alignment vertical="center"/>
    </xf>
    <xf numFmtId="0" fontId="25" fillId="4" borderId="8" xfId="2" applyFont="1" applyFill="1" applyBorder="1" applyAlignment="1">
      <alignment horizontal="center" vertical="center"/>
    </xf>
    <xf numFmtId="49" fontId="25" fillId="5" borderId="8" xfId="2" applyNumberFormat="1" applyFont="1" applyFill="1" applyBorder="1" applyAlignment="1">
      <alignment horizontal="right" vertical="center"/>
    </xf>
    <xf numFmtId="49" fontId="25" fillId="5" borderId="8" xfId="2" applyNumberFormat="1" applyFont="1" applyFill="1" applyBorder="1" applyAlignment="1">
      <alignment vertical="center"/>
    </xf>
    <xf numFmtId="0" fontId="25" fillId="0" borderId="8" xfId="2" applyFont="1" applyBorder="1" applyAlignment="1">
      <alignment horizontal="center" vertical="center"/>
    </xf>
    <xf numFmtId="0" fontId="30" fillId="2" borderId="8" xfId="2" applyFont="1" applyFill="1" applyBorder="1" applyAlignment="1">
      <alignment horizontal="center" vertical="center"/>
    </xf>
    <xf numFmtId="49" fontId="25" fillId="3" borderId="8" xfId="2" applyNumberFormat="1" applyFont="1" applyFill="1" applyBorder="1" applyAlignment="1">
      <alignment horizontal="right" vertical="center"/>
    </xf>
    <xf numFmtId="165" fontId="25" fillId="8" borderId="8" xfId="2" applyNumberFormat="1" applyFont="1" applyFill="1" applyBorder="1" applyAlignment="1">
      <alignment horizontal="right" vertical="center" wrapText="1"/>
    </xf>
    <xf numFmtId="0" fontId="25" fillId="8" borderId="1" xfId="2" applyFont="1" applyFill="1" applyBorder="1" applyAlignment="1">
      <alignment horizontal="right" vertical="center"/>
    </xf>
    <xf numFmtId="0" fontId="8" fillId="2" borderId="1" xfId="2" applyFont="1" applyFill="1" applyBorder="1" applyAlignment="1">
      <alignment vertical="center"/>
    </xf>
    <xf numFmtId="0" fontId="25" fillId="2" borderId="1" xfId="2" applyFont="1" applyFill="1" applyBorder="1" applyAlignment="1">
      <alignment vertical="center"/>
    </xf>
    <xf numFmtId="4" fontId="22" fillId="0" borderId="1" xfId="4" applyNumberFormat="1" applyFont="1" applyBorder="1"/>
    <xf numFmtId="49" fontId="20" fillId="2" borderId="1" xfId="4" applyNumberFormat="1" applyFont="1" applyFill="1" applyBorder="1" applyAlignment="1">
      <alignment horizontal="right" vertical="center"/>
    </xf>
    <xf numFmtId="0" fontId="20" fillId="2" borderId="1" xfId="4" applyFont="1" applyFill="1" applyBorder="1" applyAlignment="1">
      <alignment vertical="center"/>
    </xf>
    <xf numFmtId="165" fontId="20" fillId="2" borderId="1" xfId="4" applyNumberFormat="1" applyFont="1" applyFill="1" applyBorder="1" applyAlignment="1">
      <alignment horizontal="right" vertical="center" wrapText="1"/>
    </xf>
    <xf numFmtId="49" fontId="26" fillId="3" borderId="1" xfId="4" applyNumberFormat="1" applyFont="1" applyFill="1" applyBorder="1" applyAlignment="1">
      <alignment horizontal="right" vertical="center"/>
    </xf>
    <xf numFmtId="49" fontId="26" fillId="3" borderId="1" xfId="4" applyNumberFormat="1" applyFont="1" applyFill="1" applyBorder="1" applyAlignment="1">
      <alignment vertical="center"/>
    </xf>
    <xf numFmtId="165" fontId="22" fillId="2" borderId="1" xfId="4" applyNumberFormat="1" applyFont="1" applyFill="1" applyBorder="1" applyAlignment="1">
      <alignment horizontal="right" vertical="center" wrapText="1"/>
    </xf>
    <xf numFmtId="49" fontId="20" fillId="3" borderId="1" xfId="4" applyNumberFormat="1" applyFont="1" applyFill="1" applyBorder="1" applyAlignment="1">
      <alignment horizontal="right" vertical="center"/>
    </xf>
    <xf numFmtId="49" fontId="21" fillId="3" borderId="1" xfId="4" applyNumberFormat="1" applyFont="1" applyFill="1" applyBorder="1" applyAlignment="1">
      <alignment vertical="center"/>
    </xf>
    <xf numFmtId="0" fontId="20" fillId="0" borderId="1" xfId="1" applyFont="1" applyBorder="1" applyAlignment="1">
      <alignment horizontal="center" vertical="center" wrapText="1"/>
    </xf>
    <xf numFmtId="3" fontId="20" fillId="0" borderId="1" xfId="2" applyNumberFormat="1" applyFont="1" applyBorder="1" applyAlignment="1">
      <alignment horizontal="center" vertical="center" wrapText="1"/>
    </xf>
    <xf numFmtId="165" fontId="20" fillId="0" borderId="27" xfId="2" applyNumberFormat="1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3" fillId="0" borderId="28" xfId="1" applyFont="1" applyBorder="1" applyAlignment="1">
      <alignment horizontal="center" vertical="center" wrapText="1"/>
    </xf>
    <xf numFmtId="165" fontId="23" fillId="0" borderId="24" xfId="2" applyNumberFormat="1" applyFont="1" applyBorder="1" applyAlignment="1">
      <alignment horizontal="right" vertical="center" wrapText="1"/>
    </xf>
    <xf numFmtId="49" fontId="20" fillId="0" borderId="18" xfId="7" applyNumberFormat="1" applyFont="1" applyBorder="1" applyAlignment="1">
      <alignment vertical="center"/>
    </xf>
    <xf numFmtId="49" fontId="22" fillId="0" borderId="19" xfId="7" applyNumberFormat="1" applyFont="1" applyBorder="1" applyAlignment="1">
      <alignment vertical="center"/>
    </xf>
    <xf numFmtId="49" fontId="22" fillId="0" borderId="19" xfId="7" applyNumberFormat="1" applyFont="1" applyBorder="1" applyAlignment="1">
      <alignment vertical="center" wrapText="1"/>
    </xf>
    <xf numFmtId="49" fontId="20" fillId="0" borderId="19" xfId="7" applyNumberFormat="1" applyFont="1" applyBorder="1" applyAlignment="1">
      <alignment vertical="center"/>
    </xf>
    <xf numFmtId="165" fontId="22" fillId="0" borderId="25" xfId="7" applyNumberFormat="1" applyFont="1" applyBorder="1" applyAlignment="1">
      <alignment horizontal="right" vertical="center"/>
    </xf>
    <xf numFmtId="0" fontId="23" fillId="0" borderId="18" xfId="1" applyFont="1" applyBorder="1" applyAlignment="1">
      <alignment horizontal="center" vertical="center" wrapText="1"/>
    </xf>
    <xf numFmtId="165" fontId="20" fillId="0" borderId="1" xfId="7" applyNumberFormat="1" applyFont="1" applyBorder="1" applyAlignment="1">
      <alignment horizontal="right" vertical="center"/>
    </xf>
    <xf numFmtId="49" fontId="20" fillId="0" borderId="29" xfId="7" applyNumberFormat="1" applyFont="1" applyBorder="1" applyAlignment="1">
      <alignment vertical="center" wrapText="1"/>
    </xf>
    <xf numFmtId="49" fontId="22" fillId="0" borderId="1" xfId="7" applyNumberFormat="1" applyFont="1" applyBorder="1" applyAlignment="1">
      <alignment vertical="center" wrapText="1"/>
    </xf>
    <xf numFmtId="0" fontId="34" fillId="0" borderId="0" xfId="0" applyFont="1" applyAlignment="1">
      <alignment horizontal="center" wrapText="1"/>
    </xf>
    <xf numFmtId="0" fontId="7" fillId="0" borderId="12" xfId="0" quotePrefix="1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quotePrefix="1" applyFont="1" applyBorder="1" applyAlignment="1">
      <alignment horizontal="center" wrapText="1"/>
    </xf>
    <xf numFmtId="0" fontId="5" fillId="0" borderId="13" xfId="0" quotePrefix="1" applyFont="1" applyBorder="1" applyAlignment="1">
      <alignment horizontal="center" wrapText="1"/>
    </xf>
    <xf numFmtId="0" fontId="5" fillId="0" borderId="9" xfId="0" quotePrefix="1" applyFont="1" applyBorder="1" applyAlignment="1">
      <alignment horizontal="center" wrapText="1"/>
    </xf>
    <xf numFmtId="0" fontId="5" fillId="0" borderId="1" xfId="0" quotePrefix="1" applyFont="1" applyBorder="1" applyAlignment="1">
      <alignment horizontal="center" wrapText="1"/>
    </xf>
    <xf numFmtId="0" fontId="7" fillId="9" borderId="12" xfId="0" applyFont="1" applyFill="1" applyBorder="1" applyAlignment="1">
      <alignment horizontal="left" vertical="center" wrapText="1"/>
    </xf>
    <xf numFmtId="0" fontId="8" fillId="9" borderId="13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vertical="center"/>
    </xf>
    <xf numFmtId="0" fontId="7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/>
    </xf>
    <xf numFmtId="0" fontId="7" fillId="0" borderId="12" xfId="0" quotePrefix="1" applyFont="1" applyBorder="1" applyAlignment="1">
      <alignment horizontal="left" vertical="center"/>
    </xf>
    <xf numFmtId="0" fontId="7" fillId="9" borderId="12" xfId="0" quotePrefix="1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9" borderId="13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2" xfId="0" applyFont="1" applyFill="1" applyBorder="1" applyAlignment="1">
      <alignment horizontal="left" vertical="center" wrapText="1"/>
    </xf>
    <xf numFmtId="0" fontId="5" fillId="9" borderId="13" xfId="0" applyFont="1" applyFill="1" applyBorder="1" applyAlignment="1">
      <alignment horizontal="left" vertical="center" wrapText="1"/>
    </xf>
    <xf numFmtId="0" fontId="5" fillId="9" borderId="9" xfId="0" applyFont="1" applyFill="1" applyBorder="1" applyAlignment="1">
      <alignment horizontal="left" vertical="center" wrapText="1"/>
    </xf>
    <xf numFmtId="0" fontId="5" fillId="9" borderId="12" xfId="0" applyFont="1" applyFill="1" applyBorder="1" applyAlignment="1">
      <alignment horizontal="left" vertical="center"/>
    </xf>
    <xf numFmtId="0" fontId="5" fillId="9" borderId="13" xfId="0" applyFont="1" applyFill="1" applyBorder="1" applyAlignment="1">
      <alignment horizontal="left" vertical="center"/>
    </xf>
    <xf numFmtId="0" fontId="5" fillId="9" borderId="9" xfId="0" applyFont="1" applyFill="1" applyBorder="1" applyAlignment="1">
      <alignment horizontal="left" vertical="center"/>
    </xf>
    <xf numFmtId="0" fontId="7" fillId="9" borderId="13" xfId="0" quotePrefix="1" applyFont="1" applyFill="1" applyBorder="1" applyAlignment="1">
      <alignment horizontal="left" vertical="center" wrapText="1"/>
    </xf>
    <xf numFmtId="0" fontId="7" fillId="9" borderId="9" xfId="0" quotePrefix="1" applyFont="1" applyFill="1" applyBorder="1" applyAlignment="1">
      <alignment horizontal="left" vertical="center" wrapText="1"/>
    </xf>
    <xf numFmtId="0" fontId="7" fillId="11" borderId="12" xfId="2" applyFont="1" applyFill="1" applyBorder="1" applyAlignment="1">
      <alignment horizontal="center" vertical="center"/>
    </xf>
    <xf numFmtId="0" fontId="7" fillId="11" borderId="13" xfId="2" applyFont="1" applyFill="1" applyBorder="1" applyAlignment="1">
      <alignment horizontal="center" vertical="center"/>
    </xf>
    <xf numFmtId="0" fontId="7" fillId="11" borderId="9" xfId="2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2" borderId="0" xfId="1" applyFont="1" applyFill="1" applyAlignment="1">
      <alignment horizontal="center" vertical="center" wrapText="1"/>
    </xf>
    <xf numFmtId="0" fontId="15" fillId="0" borderId="0" xfId="2" applyFont="1" applyAlignment="1">
      <alignment horizontal="center" wrapText="1"/>
    </xf>
    <xf numFmtId="3" fontId="11" fillId="3" borderId="11" xfId="2" applyNumberFormat="1" applyFont="1" applyFill="1" applyBorder="1" applyAlignment="1">
      <alignment horizontal="center" vertical="center" wrapText="1"/>
    </xf>
    <xf numFmtId="3" fontId="7" fillId="3" borderId="0" xfId="2" applyNumberFormat="1" applyFont="1" applyFill="1" applyAlignment="1">
      <alignment horizontal="center" vertical="center" wrapText="1"/>
    </xf>
    <xf numFmtId="0" fontId="19" fillId="0" borderId="12" xfId="2" applyFont="1" applyBorder="1" applyAlignment="1">
      <alignment horizontal="center"/>
    </xf>
    <xf numFmtId="0" fontId="19" fillId="0" borderId="13" xfId="2" applyFont="1" applyBorder="1" applyAlignment="1">
      <alignment horizontal="center"/>
    </xf>
    <xf numFmtId="0" fontId="19" fillId="0" borderId="9" xfId="2" applyFont="1" applyBorder="1" applyAlignment="1">
      <alignment horizontal="center"/>
    </xf>
    <xf numFmtId="0" fontId="7" fillId="11" borderId="12" xfId="2" applyFont="1" applyFill="1" applyBorder="1" applyAlignment="1">
      <alignment horizontal="center"/>
    </xf>
    <xf numFmtId="0" fontId="7" fillId="11" borderId="13" xfId="2" applyFont="1" applyFill="1" applyBorder="1" applyAlignment="1">
      <alignment horizontal="center"/>
    </xf>
    <xf numFmtId="0" fontId="7" fillId="11" borderId="9" xfId="2" applyFont="1" applyFill="1" applyBorder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8" fillId="0" borderId="0" xfId="2" applyFont="1" applyAlignment="1">
      <alignment horizontal="center" wrapText="1"/>
    </xf>
    <xf numFmtId="3" fontId="7" fillId="3" borderId="10" xfId="2" applyNumberFormat="1" applyFont="1" applyFill="1" applyBorder="1" applyAlignment="1">
      <alignment horizontal="center" vertical="center" wrapText="1"/>
    </xf>
    <xf numFmtId="3" fontId="7" fillId="3" borderId="11" xfId="2" applyNumberFormat="1" applyFont="1" applyFill="1" applyBorder="1" applyAlignment="1">
      <alignment horizontal="center" vertical="center" wrapText="1"/>
    </xf>
    <xf numFmtId="3" fontId="8" fillId="4" borderId="12" xfId="2" applyNumberFormat="1" applyFont="1" applyFill="1" applyBorder="1" applyAlignment="1">
      <alignment horizontal="center" vertical="center" wrapText="1"/>
    </xf>
    <xf numFmtId="3" fontId="8" fillId="4" borderId="13" xfId="2" applyNumberFormat="1" applyFont="1" applyFill="1" applyBorder="1" applyAlignment="1">
      <alignment horizontal="center" vertical="center" wrapText="1"/>
    </xf>
    <xf numFmtId="3" fontId="8" fillId="4" borderId="9" xfId="2" applyNumberFormat="1" applyFont="1" applyFill="1" applyBorder="1" applyAlignment="1">
      <alignment horizontal="center" vertical="center" wrapText="1"/>
    </xf>
    <xf numFmtId="3" fontId="20" fillId="4" borderId="4" xfId="2" applyNumberFormat="1" applyFont="1" applyFill="1" applyBorder="1" applyAlignment="1">
      <alignment horizontal="right" vertical="center"/>
    </xf>
    <xf numFmtId="3" fontId="20" fillId="4" borderId="5" xfId="2" applyNumberFormat="1" applyFont="1" applyFill="1" applyBorder="1" applyAlignment="1">
      <alignment horizontal="right" vertical="center"/>
    </xf>
    <xf numFmtId="3" fontId="20" fillId="4" borderId="6" xfId="2" applyNumberFormat="1" applyFont="1" applyFill="1" applyBorder="1" applyAlignment="1">
      <alignment horizontal="right" vertical="center"/>
    </xf>
    <xf numFmtId="0" fontId="20" fillId="2" borderId="0" xfId="1" applyFont="1" applyFill="1" applyAlignment="1">
      <alignment horizontal="center" vertical="center" wrapText="1"/>
    </xf>
    <xf numFmtId="3" fontId="20" fillId="3" borderId="0" xfId="2" applyNumberFormat="1" applyFont="1" applyFill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3" fontId="20" fillId="4" borderId="30" xfId="2" applyNumberFormat="1" applyFont="1" applyFill="1" applyBorder="1" applyAlignment="1">
      <alignment horizontal="right" vertical="center"/>
    </xf>
    <xf numFmtId="3" fontId="20" fillId="4" borderId="0" xfId="2" applyNumberFormat="1" applyFont="1" applyFill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2" borderId="0" xfId="1" applyFont="1" applyFill="1" applyAlignment="1">
      <alignment wrapText="1"/>
    </xf>
    <xf numFmtId="0" fontId="22" fillId="2" borderId="0" xfId="1" applyFont="1" applyFill="1" applyAlignment="1">
      <alignment vertical="center" wrapText="1"/>
    </xf>
  </cellXfs>
  <cellStyles count="8">
    <cellStyle name="Normalno" xfId="0" builtinId="0"/>
    <cellStyle name="Normalno 2" xfId="1" xr:uid="{00000000-0005-0000-0000-000001000000}"/>
    <cellStyle name="Normalno 3" xfId="4" xr:uid="{00000000-0005-0000-0000-000002000000}"/>
    <cellStyle name="Normalno 3 3" xfId="5" xr:uid="{00000000-0005-0000-0000-000003000000}"/>
    <cellStyle name="Normalno 4" xfId="7" xr:uid="{00000000-0005-0000-0000-000004000000}"/>
    <cellStyle name="Obično 4" xfId="2" xr:uid="{00000000-0005-0000-0000-000005000000}"/>
    <cellStyle name="Obično_List9" xfId="6" xr:uid="{00000000-0005-0000-0000-000006000000}"/>
    <cellStyle name="Valuta 3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9"/>
  <sheetViews>
    <sheetView tabSelected="1" workbookViewId="0">
      <selection activeCell="B1" sqref="B1:L1"/>
    </sheetView>
  </sheetViews>
  <sheetFormatPr defaultRowHeight="15.75" x14ac:dyDescent="0.25"/>
  <cols>
    <col min="1" max="1" width="1.5703125" style="6" customWidth="1"/>
    <col min="2" max="5" width="9.140625" style="6"/>
    <col min="6" max="6" width="25" style="6" customWidth="1"/>
    <col min="7" max="7" width="13.5703125" style="6" hidden="1" customWidth="1"/>
    <col min="8" max="8" width="19.85546875" style="6" hidden="1" customWidth="1"/>
    <col min="9" max="10" width="18.85546875" style="6" customWidth="1"/>
    <col min="11" max="12" width="18.85546875" style="6" hidden="1" customWidth="1"/>
    <col min="13" max="262" width="9.140625" style="6"/>
    <col min="263" max="263" width="25.28515625" style="6" customWidth="1"/>
    <col min="264" max="264" width="17" style="6" bestFit="1" customWidth="1"/>
    <col min="265" max="265" width="20.28515625" style="6" customWidth="1"/>
    <col min="266" max="266" width="22" style="6" customWidth="1"/>
    <col min="267" max="518" width="9.140625" style="6"/>
    <col min="519" max="519" width="25.28515625" style="6" customWidth="1"/>
    <col min="520" max="520" width="17" style="6" bestFit="1" customWidth="1"/>
    <col min="521" max="521" width="20.28515625" style="6" customWidth="1"/>
    <col min="522" max="522" width="22" style="6" customWidth="1"/>
    <col min="523" max="774" width="9.140625" style="6"/>
    <col min="775" max="775" width="25.28515625" style="6" customWidth="1"/>
    <col min="776" max="776" width="17" style="6" bestFit="1" customWidth="1"/>
    <col min="777" max="777" width="20.28515625" style="6" customWidth="1"/>
    <col min="778" max="778" width="22" style="6" customWidth="1"/>
    <col min="779" max="1030" width="9.140625" style="6"/>
    <col min="1031" max="1031" width="25.28515625" style="6" customWidth="1"/>
    <col min="1032" max="1032" width="17" style="6" bestFit="1" customWidth="1"/>
    <col min="1033" max="1033" width="20.28515625" style="6" customWidth="1"/>
    <col min="1034" max="1034" width="22" style="6" customWidth="1"/>
    <col min="1035" max="1286" width="9.140625" style="6"/>
    <col min="1287" max="1287" width="25.28515625" style="6" customWidth="1"/>
    <col min="1288" max="1288" width="17" style="6" bestFit="1" customWidth="1"/>
    <col min="1289" max="1289" width="20.28515625" style="6" customWidth="1"/>
    <col min="1290" max="1290" width="22" style="6" customWidth="1"/>
    <col min="1291" max="1542" width="9.140625" style="6"/>
    <col min="1543" max="1543" width="25.28515625" style="6" customWidth="1"/>
    <col min="1544" max="1544" width="17" style="6" bestFit="1" customWidth="1"/>
    <col min="1545" max="1545" width="20.28515625" style="6" customWidth="1"/>
    <col min="1546" max="1546" width="22" style="6" customWidth="1"/>
    <col min="1547" max="1798" width="9.140625" style="6"/>
    <col min="1799" max="1799" width="25.28515625" style="6" customWidth="1"/>
    <col min="1800" max="1800" width="17" style="6" bestFit="1" customWidth="1"/>
    <col min="1801" max="1801" width="20.28515625" style="6" customWidth="1"/>
    <col min="1802" max="1802" width="22" style="6" customWidth="1"/>
    <col min="1803" max="2054" width="9.140625" style="6"/>
    <col min="2055" max="2055" width="25.28515625" style="6" customWidth="1"/>
    <col min="2056" max="2056" width="17" style="6" bestFit="1" customWidth="1"/>
    <col min="2057" max="2057" width="20.28515625" style="6" customWidth="1"/>
    <col min="2058" max="2058" width="22" style="6" customWidth="1"/>
    <col min="2059" max="2310" width="9.140625" style="6"/>
    <col min="2311" max="2311" width="25.28515625" style="6" customWidth="1"/>
    <col min="2312" max="2312" width="17" style="6" bestFit="1" customWidth="1"/>
    <col min="2313" max="2313" width="20.28515625" style="6" customWidth="1"/>
    <col min="2314" max="2314" width="22" style="6" customWidth="1"/>
    <col min="2315" max="2566" width="9.140625" style="6"/>
    <col min="2567" max="2567" width="25.28515625" style="6" customWidth="1"/>
    <col min="2568" max="2568" width="17" style="6" bestFit="1" customWidth="1"/>
    <col min="2569" max="2569" width="20.28515625" style="6" customWidth="1"/>
    <col min="2570" max="2570" width="22" style="6" customWidth="1"/>
    <col min="2571" max="2822" width="9.140625" style="6"/>
    <col min="2823" max="2823" width="25.28515625" style="6" customWidth="1"/>
    <col min="2824" max="2824" width="17" style="6" bestFit="1" customWidth="1"/>
    <col min="2825" max="2825" width="20.28515625" style="6" customWidth="1"/>
    <col min="2826" max="2826" width="22" style="6" customWidth="1"/>
    <col min="2827" max="3078" width="9.140625" style="6"/>
    <col min="3079" max="3079" width="25.28515625" style="6" customWidth="1"/>
    <col min="3080" max="3080" width="17" style="6" bestFit="1" customWidth="1"/>
    <col min="3081" max="3081" width="20.28515625" style="6" customWidth="1"/>
    <col min="3082" max="3082" width="22" style="6" customWidth="1"/>
    <col min="3083" max="3334" width="9.140625" style="6"/>
    <col min="3335" max="3335" width="25.28515625" style="6" customWidth="1"/>
    <col min="3336" max="3336" width="17" style="6" bestFit="1" customWidth="1"/>
    <col min="3337" max="3337" width="20.28515625" style="6" customWidth="1"/>
    <col min="3338" max="3338" width="22" style="6" customWidth="1"/>
    <col min="3339" max="3590" width="9.140625" style="6"/>
    <col min="3591" max="3591" width="25.28515625" style="6" customWidth="1"/>
    <col min="3592" max="3592" width="17" style="6" bestFit="1" customWidth="1"/>
    <col min="3593" max="3593" width="20.28515625" style="6" customWidth="1"/>
    <col min="3594" max="3594" width="22" style="6" customWidth="1"/>
    <col min="3595" max="3846" width="9.140625" style="6"/>
    <col min="3847" max="3847" width="25.28515625" style="6" customWidth="1"/>
    <col min="3848" max="3848" width="17" style="6" bestFit="1" customWidth="1"/>
    <col min="3849" max="3849" width="20.28515625" style="6" customWidth="1"/>
    <col min="3850" max="3850" width="22" style="6" customWidth="1"/>
    <col min="3851" max="4102" width="9.140625" style="6"/>
    <col min="4103" max="4103" width="25.28515625" style="6" customWidth="1"/>
    <col min="4104" max="4104" width="17" style="6" bestFit="1" customWidth="1"/>
    <col min="4105" max="4105" width="20.28515625" style="6" customWidth="1"/>
    <col min="4106" max="4106" width="22" style="6" customWidth="1"/>
    <col min="4107" max="4358" width="9.140625" style="6"/>
    <col min="4359" max="4359" width="25.28515625" style="6" customWidth="1"/>
    <col min="4360" max="4360" width="17" style="6" bestFit="1" customWidth="1"/>
    <col min="4361" max="4361" width="20.28515625" style="6" customWidth="1"/>
    <col min="4362" max="4362" width="22" style="6" customWidth="1"/>
    <col min="4363" max="4614" width="9.140625" style="6"/>
    <col min="4615" max="4615" width="25.28515625" style="6" customWidth="1"/>
    <col min="4616" max="4616" width="17" style="6" bestFit="1" customWidth="1"/>
    <col min="4617" max="4617" width="20.28515625" style="6" customWidth="1"/>
    <col min="4618" max="4618" width="22" style="6" customWidth="1"/>
    <col min="4619" max="4870" width="9.140625" style="6"/>
    <col min="4871" max="4871" width="25.28515625" style="6" customWidth="1"/>
    <col min="4872" max="4872" width="17" style="6" bestFit="1" customWidth="1"/>
    <col min="4873" max="4873" width="20.28515625" style="6" customWidth="1"/>
    <col min="4874" max="4874" width="22" style="6" customWidth="1"/>
    <col min="4875" max="5126" width="9.140625" style="6"/>
    <col min="5127" max="5127" width="25.28515625" style="6" customWidth="1"/>
    <col min="5128" max="5128" width="17" style="6" bestFit="1" customWidth="1"/>
    <col min="5129" max="5129" width="20.28515625" style="6" customWidth="1"/>
    <col min="5130" max="5130" width="22" style="6" customWidth="1"/>
    <col min="5131" max="5382" width="9.140625" style="6"/>
    <col min="5383" max="5383" width="25.28515625" style="6" customWidth="1"/>
    <col min="5384" max="5384" width="17" style="6" bestFit="1" customWidth="1"/>
    <col min="5385" max="5385" width="20.28515625" style="6" customWidth="1"/>
    <col min="5386" max="5386" width="22" style="6" customWidth="1"/>
    <col min="5387" max="5638" width="9.140625" style="6"/>
    <col min="5639" max="5639" width="25.28515625" style="6" customWidth="1"/>
    <col min="5640" max="5640" width="17" style="6" bestFit="1" customWidth="1"/>
    <col min="5641" max="5641" width="20.28515625" style="6" customWidth="1"/>
    <col min="5642" max="5642" width="22" style="6" customWidth="1"/>
    <col min="5643" max="5894" width="9.140625" style="6"/>
    <col min="5895" max="5895" width="25.28515625" style="6" customWidth="1"/>
    <col min="5896" max="5896" width="17" style="6" bestFit="1" customWidth="1"/>
    <col min="5897" max="5897" width="20.28515625" style="6" customWidth="1"/>
    <col min="5898" max="5898" width="22" style="6" customWidth="1"/>
    <col min="5899" max="6150" width="9.140625" style="6"/>
    <col min="6151" max="6151" width="25.28515625" style="6" customWidth="1"/>
    <col min="6152" max="6152" width="17" style="6" bestFit="1" customWidth="1"/>
    <col min="6153" max="6153" width="20.28515625" style="6" customWidth="1"/>
    <col min="6154" max="6154" width="22" style="6" customWidth="1"/>
    <col min="6155" max="6406" width="9.140625" style="6"/>
    <col min="6407" max="6407" width="25.28515625" style="6" customWidth="1"/>
    <col min="6408" max="6408" width="17" style="6" bestFit="1" customWidth="1"/>
    <col min="6409" max="6409" width="20.28515625" style="6" customWidth="1"/>
    <col min="6410" max="6410" width="22" style="6" customWidth="1"/>
    <col min="6411" max="6662" width="9.140625" style="6"/>
    <col min="6663" max="6663" width="25.28515625" style="6" customWidth="1"/>
    <col min="6664" max="6664" width="17" style="6" bestFit="1" customWidth="1"/>
    <col min="6665" max="6665" width="20.28515625" style="6" customWidth="1"/>
    <col min="6666" max="6666" width="22" style="6" customWidth="1"/>
    <col min="6667" max="6918" width="9.140625" style="6"/>
    <col min="6919" max="6919" width="25.28515625" style="6" customWidth="1"/>
    <col min="6920" max="6920" width="17" style="6" bestFit="1" customWidth="1"/>
    <col min="6921" max="6921" width="20.28515625" style="6" customWidth="1"/>
    <col min="6922" max="6922" width="22" style="6" customWidth="1"/>
    <col min="6923" max="7174" width="9.140625" style="6"/>
    <col min="7175" max="7175" width="25.28515625" style="6" customWidth="1"/>
    <col min="7176" max="7176" width="17" style="6" bestFit="1" customWidth="1"/>
    <col min="7177" max="7177" width="20.28515625" style="6" customWidth="1"/>
    <col min="7178" max="7178" width="22" style="6" customWidth="1"/>
    <col min="7179" max="7430" width="9.140625" style="6"/>
    <col min="7431" max="7431" width="25.28515625" style="6" customWidth="1"/>
    <col min="7432" max="7432" width="17" style="6" bestFit="1" customWidth="1"/>
    <col min="7433" max="7433" width="20.28515625" style="6" customWidth="1"/>
    <col min="7434" max="7434" width="22" style="6" customWidth="1"/>
    <col min="7435" max="7686" width="9.140625" style="6"/>
    <col min="7687" max="7687" width="25.28515625" style="6" customWidth="1"/>
    <col min="7688" max="7688" width="17" style="6" bestFit="1" customWidth="1"/>
    <col min="7689" max="7689" width="20.28515625" style="6" customWidth="1"/>
    <col min="7690" max="7690" width="22" style="6" customWidth="1"/>
    <col min="7691" max="7942" width="9.140625" style="6"/>
    <col min="7943" max="7943" width="25.28515625" style="6" customWidth="1"/>
    <col min="7944" max="7944" width="17" style="6" bestFit="1" customWidth="1"/>
    <col min="7945" max="7945" width="20.28515625" style="6" customWidth="1"/>
    <col min="7946" max="7946" width="22" style="6" customWidth="1"/>
    <col min="7947" max="8198" width="9.140625" style="6"/>
    <col min="8199" max="8199" width="25.28515625" style="6" customWidth="1"/>
    <col min="8200" max="8200" width="17" style="6" bestFit="1" customWidth="1"/>
    <col min="8201" max="8201" width="20.28515625" style="6" customWidth="1"/>
    <col min="8202" max="8202" width="22" style="6" customWidth="1"/>
    <col min="8203" max="8454" width="9.140625" style="6"/>
    <col min="8455" max="8455" width="25.28515625" style="6" customWidth="1"/>
    <col min="8456" max="8456" width="17" style="6" bestFit="1" customWidth="1"/>
    <col min="8457" max="8457" width="20.28515625" style="6" customWidth="1"/>
    <col min="8458" max="8458" width="22" style="6" customWidth="1"/>
    <col min="8459" max="8710" width="9.140625" style="6"/>
    <col min="8711" max="8711" width="25.28515625" style="6" customWidth="1"/>
    <col min="8712" max="8712" width="17" style="6" bestFit="1" customWidth="1"/>
    <col min="8713" max="8713" width="20.28515625" style="6" customWidth="1"/>
    <col min="8714" max="8714" width="22" style="6" customWidth="1"/>
    <col min="8715" max="8966" width="9.140625" style="6"/>
    <col min="8967" max="8967" width="25.28515625" style="6" customWidth="1"/>
    <col min="8968" max="8968" width="17" style="6" bestFit="1" customWidth="1"/>
    <col min="8969" max="8969" width="20.28515625" style="6" customWidth="1"/>
    <col min="8970" max="8970" width="22" style="6" customWidth="1"/>
    <col min="8971" max="9222" width="9.140625" style="6"/>
    <col min="9223" max="9223" width="25.28515625" style="6" customWidth="1"/>
    <col min="9224" max="9224" width="17" style="6" bestFit="1" customWidth="1"/>
    <col min="9225" max="9225" width="20.28515625" style="6" customWidth="1"/>
    <col min="9226" max="9226" width="22" style="6" customWidth="1"/>
    <col min="9227" max="9478" width="9.140625" style="6"/>
    <col min="9479" max="9479" width="25.28515625" style="6" customWidth="1"/>
    <col min="9480" max="9480" width="17" style="6" bestFit="1" customWidth="1"/>
    <col min="9481" max="9481" width="20.28515625" style="6" customWidth="1"/>
    <col min="9482" max="9482" width="22" style="6" customWidth="1"/>
    <col min="9483" max="9734" width="9.140625" style="6"/>
    <col min="9735" max="9735" width="25.28515625" style="6" customWidth="1"/>
    <col min="9736" max="9736" width="17" style="6" bestFit="1" customWidth="1"/>
    <col min="9737" max="9737" width="20.28515625" style="6" customWidth="1"/>
    <col min="9738" max="9738" width="22" style="6" customWidth="1"/>
    <col min="9739" max="9990" width="9.140625" style="6"/>
    <col min="9991" max="9991" width="25.28515625" style="6" customWidth="1"/>
    <col min="9992" max="9992" width="17" style="6" bestFit="1" customWidth="1"/>
    <col min="9993" max="9993" width="20.28515625" style="6" customWidth="1"/>
    <col min="9994" max="9994" width="22" style="6" customWidth="1"/>
    <col min="9995" max="10246" width="9.140625" style="6"/>
    <col min="10247" max="10247" width="25.28515625" style="6" customWidth="1"/>
    <col min="10248" max="10248" width="17" style="6" bestFit="1" customWidth="1"/>
    <col min="10249" max="10249" width="20.28515625" style="6" customWidth="1"/>
    <col min="10250" max="10250" width="22" style="6" customWidth="1"/>
    <col min="10251" max="10502" width="9.140625" style="6"/>
    <col min="10503" max="10503" width="25.28515625" style="6" customWidth="1"/>
    <col min="10504" max="10504" width="17" style="6" bestFit="1" customWidth="1"/>
    <col min="10505" max="10505" width="20.28515625" style="6" customWidth="1"/>
    <col min="10506" max="10506" width="22" style="6" customWidth="1"/>
    <col min="10507" max="10758" width="9.140625" style="6"/>
    <col min="10759" max="10759" width="25.28515625" style="6" customWidth="1"/>
    <col min="10760" max="10760" width="17" style="6" bestFit="1" customWidth="1"/>
    <col min="10761" max="10761" width="20.28515625" style="6" customWidth="1"/>
    <col min="10762" max="10762" width="22" style="6" customWidth="1"/>
    <col min="10763" max="11014" width="9.140625" style="6"/>
    <col min="11015" max="11015" width="25.28515625" style="6" customWidth="1"/>
    <col min="11016" max="11016" width="17" style="6" bestFit="1" customWidth="1"/>
    <col min="11017" max="11017" width="20.28515625" style="6" customWidth="1"/>
    <col min="11018" max="11018" width="22" style="6" customWidth="1"/>
    <col min="11019" max="11270" width="9.140625" style="6"/>
    <col min="11271" max="11271" width="25.28515625" style="6" customWidth="1"/>
    <col min="11272" max="11272" width="17" style="6" bestFit="1" customWidth="1"/>
    <col min="11273" max="11273" width="20.28515625" style="6" customWidth="1"/>
    <col min="11274" max="11274" width="22" style="6" customWidth="1"/>
    <col min="11275" max="11526" width="9.140625" style="6"/>
    <col min="11527" max="11527" width="25.28515625" style="6" customWidth="1"/>
    <col min="11528" max="11528" width="17" style="6" bestFit="1" customWidth="1"/>
    <col min="11529" max="11529" width="20.28515625" style="6" customWidth="1"/>
    <col min="11530" max="11530" width="22" style="6" customWidth="1"/>
    <col min="11531" max="11782" width="9.140625" style="6"/>
    <col min="11783" max="11783" width="25.28515625" style="6" customWidth="1"/>
    <col min="11784" max="11784" width="17" style="6" bestFit="1" customWidth="1"/>
    <col min="11785" max="11785" width="20.28515625" style="6" customWidth="1"/>
    <col min="11786" max="11786" width="22" style="6" customWidth="1"/>
    <col min="11787" max="12038" width="9.140625" style="6"/>
    <col min="12039" max="12039" width="25.28515625" style="6" customWidth="1"/>
    <col min="12040" max="12040" width="17" style="6" bestFit="1" customWidth="1"/>
    <col min="12041" max="12041" width="20.28515625" style="6" customWidth="1"/>
    <col min="12042" max="12042" width="22" style="6" customWidth="1"/>
    <col min="12043" max="12294" width="9.140625" style="6"/>
    <col min="12295" max="12295" width="25.28515625" style="6" customWidth="1"/>
    <col min="12296" max="12296" width="17" style="6" bestFit="1" customWidth="1"/>
    <col min="12297" max="12297" width="20.28515625" style="6" customWidth="1"/>
    <col min="12298" max="12298" width="22" style="6" customWidth="1"/>
    <col min="12299" max="12550" width="9.140625" style="6"/>
    <col min="12551" max="12551" width="25.28515625" style="6" customWidth="1"/>
    <col min="12552" max="12552" width="17" style="6" bestFit="1" customWidth="1"/>
    <col min="12553" max="12553" width="20.28515625" style="6" customWidth="1"/>
    <col min="12554" max="12554" width="22" style="6" customWidth="1"/>
    <col min="12555" max="12806" width="9.140625" style="6"/>
    <col min="12807" max="12807" width="25.28515625" style="6" customWidth="1"/>
    <col min="12808" max="12808" width="17" style="6" bestFit="1" customWidth="1"/>
    <col min="12809" max="12809" width="20.28515625" style="6" customWidth="1"/>
    <col min="12810" max="12810" width="22" style="6" customWidth="1"/>
    <col min="12811" max="13062" width="9.140625" style="6"/>
    <col min="13063" max="13063" width="25.28515625" style="6" customWidth="1"/>
    <col min="13064" max="13064" width="17" style="6" bestFit="1" customWidth="1"/>
    <col min="13065" max="13065" width="20.28515625" style="6" customWidth="1"/>
    <col min="13066" max="13066" width="22" style="6" customWidth="1"/>
    <col min="13067" max="13318" width="9.140625" style="6"/>
    <col min="13319" max="13319" width="25.28515625" style="6" customWidth="1"/>
    <col min="13320" max="13320" width="17" style="6" bestFit="1" customWidth="1"/>
    <col min="13321" max="13321" width="20.28515625" style="6" customWidth="1"/>
    <col min="13322" max="13322" width="22" style="6" customWidth="1"/>
    <col min="13323" max="13574" width="9.140625" style="6"/>
    <col min="13575" max="13575" width="25.28515625" style="6" customWidth="1"/>
    <col min="13576" max="13576" width="17" style="6" bestFit="1" customWidth="1"/>
    <col min="13577" max="13577" width="20.28515625" style="6" customWidth="1"/>
    <col min="13578" max="13578" width="22" style="6" customWidth="1"/>
    <col min="13579" max="13830" width="9.140625" style="6"/>
    <col min="13831" max="13831" width="25.28515625" style="6" customWidth="1"/>
    <col min="13832" max="13832" width="17" style="6" bestFit="1" customWidth="1"/>
    <col min="13833" max="13833" width="20.28515625" style="6" customWidth="1"/>
    <col min="13834" max="13834" width="22" style="6" customWidth="1"/>
    <col min="13835" max="14086" width="9.140625" style="6"/>
    <col min="14087" max="14087" width="25.28515625" style="6" customWidth="1"/>
    <col min="14088" max="14088" width="17" style="6" bestFit="1" customWidth="1"/>
    <col min="14089" max="14089" width="20.28515625" style="6" customWidth="1"/>
    <col min="14090" max="14090" width="22" style="6" customWidth="1"/>
    <col min="14091" max="14342" width="9.140625" style="6"/>
    <col min="14343" max="14343" width="25.28515625" style="6" customWidth="1"/>
    <col min="14344" max="14344" width="17" style="6" bestFit="1" customWidth="1"/>
    <col min="14345" max="14345" width="20.28515625" style="6" customWidth="1"/>
    <col min="14346" max="14346" width="22" style="6" customWidth="1"/>
    <col min="14347" max="14598" width="9.140625" style="6"/>
    <col min="14599" max="14599" width="25.28515625" style="6" customWidth="1"/>
    <col min="14600" max="14600" width="17" style="6" bestFit="1" customWidth="1"/>
    <col min="14601" max="14601" width="20.28515625" style="6" customWidth="1"/>
    <col min="14602" max="14602" width="22" style="6" customWidth="1"/>
    <col min="14603" max="14854" width="9.140625" style="6"/>
    <col min="14855" max="14855" width="25.28515625" style="6" customWidth="1"/>
    <col min="14856" max="14856" width="17" style="6" bestFit="1" customWidth="1"/>
    <col min="14857" max="14857" width="20.28515625" style="6" customWidth="1"/>
    <col min="14858" max="14858" width="22" style="6" customWidth="1"/>
    <col min="14859" max="15110" width="9.140625" style="6"/>
    <col min="15111" max="15111" width="25.28515625" style="6" customWidth="1"/>
    <col min="15112" max="15112" width="17" style="6" bestFit="1" customWidth="1"/>
    <col min="15113" max="15113" width="20.28515625" style="6" customWidth="1"/>
    <col min="15114" max="15114" width="22" style="6" customWidth="1"/>
    <col min="15115" max="15366" width="9.140625" style="6"/>
    <col min="15367" max="15367" width="25.28515625" style="6" customWidth="1"/>
    <col min="15368" max="15368" width="17" style="6" bestFit="1" customWidth="1"/>
    <col min="15369" max="15369" width="20.28515625" style="6" customWidth="1"/>
    <col min="15370" max="15370" width="22" style="6" customWidth="1"/>
    <col min="15371" max="15622" width="9.140625" style="6"/>
    <col min="15623" max="15623" width="25.28515625" style="6" customWidth="1"/>
    <col min="15624" max="15624" width="17" style="6" bestFit="1" customWidth="1"/>
    <col min="15625" max="15625" width="20.28515625" style="6" customWidth="1"/>
    <col min="15626" max="15626" width="22" style="6" customWidth="1"/>
    <col min="15627" max="15878" width="9.140625" style="6"/>
    <col min="15879" max="15879" width="25.28515625" style="6" customWidth="1"/>
    <col min="15880" max="15880" width="17" style="6" bestFit="1" customWidth="1"/>
    <col min="15881" max="15881" width="20.28515625" style="6" customWidth="1"/>
    <col min="15882" max="15882" width="22" style="6" customWidth="1"/>
    <col min="15883" max="16134" width="9.140625" style="6"/>
    <col min="16135" max="16135" width="25.28515625" style="6" customWidth="1"/>
    <col min="16136" max="16136" width="17" style="6" bestFit="1" customWidth="1"/>
    <col min="16137" max="16137" width="20.28515625" style="6" customWidth="1"/>
    <col min="16138" max="16138" width="22" style="6" customWidth="1"/>
    <col min="16139" max="16384" width="9.140625" style="6"/>
  </cols>
  <sheetData>
    <row r="1" spans="2:12" ht="45.75" customHeight="1" x14ac:dyDescent="0.3">
      <c r="B1" s="501" t="s">
        <v>720</v>
      </c>
      <c r="C1" s="501"/>
      <c r="D1" s="501"/>
      <c r="E1" s="501"/>
      <c r="F1" s="501"/>
      <c r="G1" s="501"/>
      <c r="H1" s="501"/>
      <c r="I1" s="501"/>
      <c r="J1" s="501"/>
      <c r="K1" s="501"/>
      <c r="L1" s="501"/>
    </row>
    <row r="2" spans="2:12" ht="18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x14ac:dyDescent="0.25">
      <c r="B3" s="504" t="s">
        <v>0</v>
      </c>
      <c r="C3" s="504"/>
      <c r="D3" s="504"/>
      <c r="E3" s="504"/>
      <c r="F3" s="504"/>
      <c r="G3" s="504"/>
      <c r="H3" s="504"/>
      <c r="I3" s="504"/>
      <c r="J3" s="504"/>
      <c r="K3" s="504"/>
      <c r="L3" s="504"/>
    </row>
    <row r="4" spans="2:12" x14ac:dyDescent="0.25">
      <c r="B4" s="505"/>
      <c r="C4" s="505"/>
      <c r="D4" s="505"/>
      <c r="E4" s="1"/>
      <c r="F4" s="1"/>
      <c r="G4" s="1"/>
      <c r="H4" s="1"/>
      <c r="I4" s="1"/>
      <c r="J4" s="1"/>
      <c r="K4" s="1"/>
      <c r="L4" s="8"/>
    </row>
    <row r="5" spans="2:12" x14ac:dyDescent="0.25">
      <c r="B5" s="1"/>
      <c r="C5" s="2"/>
      <c r="D5" s="2"/>
      <c r="E5" s="2"/>
      <c r="F5" s="506" t="s">
        <v>259</v>
      </c>
      <c r="G5" s="506"/>
      <c r="H5" s="506"/>
      <c r="I5" s="506"/>
      <c r="J5" s="506"/>
      <c r="K5" s="506"/>
      <c r="L5" s="506"/>
    </row>
    <row r="6" spans="2:12" x14ac:dyDescent="0.25">
      <c r="B6" s="507"/>
      <c r="C6" s="507"/>
      <c r="D6" s="507"/>
      <c r="E6" s="507"/>
      <c r="F6" s="507"/>
      <c r="G6" s="9"/>
      <c r="H6" s="9"/>
      <c r="I6" s="9"/>
      <c r="J6" s="10"/>
      <c r="K6" s="10"/>
      <c r="L6" s="11" t="s">
        <v>260</v>
      </c>
    </row>
    <row r="7" spans="2:12" ht="31.5" customHeight="1" x14ac:dyDescent="0.25">
      <c r="B7" s="508" t="s">
        <v>261</v>
      </c>
      <c r="C7" s="509"/>
      <c r="D7" s="509"/>
      <c r="E7" s="509"/>
      <c r="F7" s="510"/>
      <c r="G7" s="13" t="s">
        <v>552</v>
      </c>
      <c r="H7" s="13" t="s">
        <v>556</v>
      </c>
      <c r="I7" s="13" t="s">
        <v>719</v>
      </c>
      <c r="J7" s="14" t="s">
        <v>554</v>
      </c>
      <c r="K7" s="14" t="s">
        <v>555</v>
      </c>
      <c r="L7" s="15" t="s">
        <v>553</v>
      </c>
    </row>
    <row r="8" spans="2:12" x14ac:dyDescent="0.25">
      <c r="B8" s="511">
        <v>1</v>
      </c>
      <c r="C8" s="511"/>
      <c r="D8" s="511"/>
      <c r="E8" s="511"/>
      <c r="F8" s="508"/>
      <c r="G8" s="12"/>
      <c r="H8" s="12"/>
      <c r="I8" s="12"/>
      <c r="J8" s="14">
        <v>3</v>
      </c>
      <c r="K8" s="14">
        <v>4</v>
      </c>
      <c r="L8" s="14">
        <v>5</v>
      </c>
    </row>
    <row r="9" spans="2:12" x14ac:dyDescent="0.25">
      <c r="B9" s="512" t="s">
        <v>262</v>
      </c>
      <c r="C9" s="513"/>
      <c r="D9" s="513"/>
      <c r="E9" s="513"/>
      <c r="F9" s="514"/>
      <c r="G9" s="18" t="e">
        <f t="shared" ref="G9:H9" si="0">G10+G11</f>
        <v>#REF!</v>
      </c>
      <c r="H9" s="18" t="e">
        <f t="shared" si="0"/>
        <v>#REF!</v>
      </c>
      <c r="I9" s="18">
        <f>I10+I11</f>
        <v>27029768.079999998</v>
      </c>
      <c r="J9" s="18">
        <f>J10+J11</f>
        <v>27400996.079999998</v>
      </c>
      <c r="K9" s="18">
        <f>K10+K11</f>
        <v>28076192.190000001</v>
      </c>
      <c r="L9" s="18">
        <f>L10+L11</f>
        <v>28547127.919999998</v>
      </c>
    </row>
    <row r="10" spans="2:12" x14ac:dyDescent="0.25">
      <c r="B10" s="515" t="s">
        <v>263</v>
      </c>
      <c r="C10" s="503"/>
      <c r="D10" s="503"/>
      <c r="E10" s="503"/>
      <c r="F10" s="516"/>
      <c r="G10" s="19" t="e">
        <f>'Prihodi po ekonomskoj klas'!E10</f>
        <v>#REF!</v>
      </c>
      <c r="H10" s="19" t="e">
        <f>'Prihodi po ekonomskoj klas'!F10</f>
        <v>#REF!</v>
      </c>
      <c r="I10" s="19">
        <f>'Prihodi po ekonomskoj klas'!G10</f>
        <v>27028468.079999998</v>
      </c>
      <c r="J10" s="19">
        <f>'Prihodi po ekonomskoj klas'!H10</f>
        <v>27399696.079999998</v>
      </c>
      <c r="K10" s="19">
        <f>'Prihodi po ekonomskoj klas'!I10</f>
        <v>28076192.190000001</v>
      </c>
      <c r="L10" s="19">
        <f>'Prihodi po ekonomskoj klas'!J10</f>
        <v>28547127.919999998</v>
      </c>
    </row>
    <row r="11" spans="2:12" x14ac:dyDescent="0.25">
      <c r="B11" s="517" t="s">
        <v>264</v>
      </c>
      <c r="C11" s="516"/>
      <c r="D11" s="516"/>
      <c r="E11" s="516"/>
      <c r="F11" s="516"/>
      <c r="G11" s="19">
        <f>'Prihodi po ekonomskoj klas'!E81</f>
        <v>0</v>
      </c>
      <c r="H11" s="19">
        <f>'Prihodi po ekonomskoj klas'!F81</f>
        <v>0</v>
      </c>
      <c r="I11" s="19">
        <f>'Prihodi po ekonomskoj klas'!G81</f>
        <v>1300</v>
      </c>
      <c r="J11" s="19">
        <f>'Prihodi po ekonomskoj klas'!H81</f>
        <v>1300</v>
      </c>
      <c r="K11" s="19">
        <f>'Prihodi po ekonomskoj klas'!I81</f>
        <v>0</v>
      </c>
      <c r="L11" s="19">
        <f>'Prihodi po ekonomskoj klas'!J81</f>
        <v>0</v>
      </c>
    </row>
    <row r="12" spans="2:12" x14ac:dyDescent="0.25">
      <c r="B12" s="20" t="s">
        <v>265</v>
      </c>
      <c r="C12" s="17"/>
      <c r="D12" s="17"/>
      <c r="E12" s="17"/>
      <c r="F12" s="17"/>
      <c r="G12" s="18" t="e">
        <f t="shared" ref="G12:H12" si="1">G13+G14</f>
        <v>#REF!</v>
      </c>
      <c r="H12" s="18" t="e">
        <f t="shared" si="1"/>
        <v>#REF!</v>
      </c>
      <c r="I12" s="18">
        <f>I13+I14</f>
        <v>26784175.230000004</v>
      </c>
      <c r="J12" s="18">
        <f>J13+J14</f>
        <v>27155403.23</v>
      </c>
      <c r="K12" s="18">
        <f>K13+K14</f>
        <v>27423628.59</v>
      </c>
      <c r="L12" s="18">
        <f>L13+L14</f>
        <v>27667151.609999999</v>
      </c>
    </row>
    <row r="13" spans="2:12" x14ac:dyDescent="0.25">
      <c r="B13" s="502" t="s">
        <v>266</v>
      </c>
      <c r="C13" s="503"/>
      <c r="D13" s="503"/>
      <c r="E13" s="503"/>
      <c r="F13" s="503"/>
      <c r="G13" s="19" t="e">
        <f>'RASHODI-ek.kl.'!D57</f>
        <v>#REF!</v>
      </c>
      <c r="H13" s="19" t="e">
        <f>'RASHODI-ek.kl.'!E57</f>
        <v>#REF!</v>
      </c>
      <c r="I13" s="19">
        <f>'RASHODI-ek.kl.'!F57</f>
        <v>26423402.950000003</v>
      </c>
      <c r="J13" s="19">
        <f>'RASHODI-ek.kl.'!G57</f>
        <v>26300527.960000001</v>
      </c>
      <c r="K13" s="19">
        <f>'RASHODI-ek.kl.'!H57</f>
        <v>26565803.32</v>
      </c>
      <c r="L13" s="19">
        <f>'RASHODI-ek.kl.'!I57</f>
        <v>26806376.34</v>
      </c>
    </row>
    <row r="14" spans="2:12" x14ac:dyDescent="0.25">
      <c r="B14" s="517" t="s">
        <v>267</v>
      </c>
      <c r="C14" s="516"/>
      <c r="D14" s="516"/>
      <c r="E14" s="516"/>
      <c r="F14" s="516"/>
      <c r="G14" s="19" t="e">
        <f>'RASHODI-ek.kl.'!D234</f>
        <v>#REF!</v>
      </c>
      <c r="H14" s="19" t="e">
        <f>'RASHODI-ek.kl.'!E234</f>
        <v>#REF!</v>
      </c>
      <c r="I14" s="19">
        <f>'RASHODI-ek.kl.'!F234</f>
        <v>360772.28</v>
      </c>
      <c r="J14" s="19">
        <f>'RASHODI-ek.kl.'!G234</f>
        <v>854875.27</v>
      </c>
      <c r="K14" s="19">
        <f>'RASHODI-ek.kl.'!H234</f>
        <v>857825.27</v>
      </c>
      <c r="L14" s="19">
        <f>'RASHODI-ek.kl.'!I234</f>
        <v>860775.27</v>
      </c>
    </row>
    <row r="15" spans="2:12" x14ac:dyDescent="0.25">
      <c r="B15" s="518" t="s">
        <v>268</v>
      </c>
      <c r="C15" s="513"/>
      <c r="D15" s="513"/>
      <c r="E15" s="513"/>
      <c r="F15" s="513"/>
      <c r="G15" s="18" t="e">
        <f t="shared" ref="G15" si="2">G9-G12</f>
        <v>#REF!</v>
      </c>
      <c r="H15" s="18" t="e">
        <f t="shared" ref="H15" si="3">H9-H12</f>
        <v>#REF!</v>
      </c>
      <c r="I15" s="18">
        <f>I9-I12</f>
        <v>245592.84999999404</v>
      </c>
      <c r="J15" s="18">
        <f>J9-J12</f>
        <v>245592.84999999776</v>
      </c>
      <c r="K15" s="18">
        <f>K9-K12</f>
        <v>652563.60000000149</v>
      </c>
      <c r="L15" s="18">
        <f>L9-L12</f>
        <v>879976.30999999866</v>
      </c>
    </row>
    <row r="16" spans="2:12" x14ac:dyDescent="0.25">
      <c r="B16" s="1"/>
      <c r="C16" s="22"/>
      <c r="D16" s="22"/>
      <c r="E16" s="22"/>
      <c r="F16" s="22"/>
      <c r="G16" s="22"/>
      <c r="H16" s="22"/>
      <c r="I16" s="22"/>
      <c r="J16" s="22"/>
      <c r="K16" s="23"/>
      <c r="L16" s="23"/>
    </row>
    <row r="17" spans="2:14" x14ac:dyDescent="0.25">
      <c r="B17" s="1"/>
      <c r="C17" s="22"/>
      <c r="D17" s="22"/>
      <c r="E17" s="22"/>
      <c r="F17" s="506" t="s">
        <v>269</v>
      </c>
      <c r="G17" s="506"/>
      <c r="H17" s="506"/>
      <c r="I17" s="506"/>
      <c r="J17" s="506"/>
      <c r="K17" s="506"/>
      <c r="L17" s="506"/>
    </row>
    <row r="18" spans="2:14" x14ac:dyDescent="0.25">
      <c r="J18" s="22"/>
      <c r="K18" s="23"/>
      <c r="L18" s="23"/>
    </row>
    <row r="19" spans="2:14" ht="31.5" customHeight="1" x14ac:dyDescent="0.25">
      <c r="B19" s="508" t="s">
        <v>261</v>
      </c>
      <c r="C19" s="509"/>
      <c r="D19" s="509"/>
      <c r="E19" s="509"/>
      <c r="F19" s="509"/>
      <c r="G19" s="16" t="s">
        <v>552</v>
      </c>
      <c r="H19" s="16" t="s">
        <v>556</v>
      </c>
      <c r="I19" s="16" t="s">
        <v>719</v>
      </c>
      <c r="J19" s="14" t="s">
        <v>554</v>
      </c>
      <c r="K19" s="14" t="s">
        <v>555</v>
      </c>
      <c r="L19" s="15" t="s">
        <v>553</v>
      </c>
    </row>
    <row r="20" spans="2:14" x14ac:dyDescent="0.25">
      <c r="B20" s="511">
        <v>1</v>
      </c>
      <c r="C20" s="511"/>
      <c r="D20" s="511"/>
      <c r="E20" s="511"/>
      <c r="F20" s="508"/>
      <c r="G20" s="16"/>
      <c r="H20" s="16"/>
      <c r="I20" s="16"/>
      <c r="J20" s="14">
        <v>3</v>
      </c>
      <c r="K20" s="14">
        <v>4</v>
      </c>
      <c r="L20" s="14">
        <v>5</v>
      </c>
    </row>
    <row r="21" spans="2:14" ht="15.75" customHeight="1" x14ac:dyDescent="0.25">
      <c r="B21" s="515" t="s">
        <v>270</v>
      </c>
      <c r="C21" s="519"/>
      <c r="D21" s="519"/>
      <c r="E21" s="519"/>
      <c r="F21" s="519"/>
      <c r="G21" s="24"/>
      <c r="H21" s="24"/>
      <c r="I21" s="24"/>
      <c r="J21" s="25"/>
      <c r="K21" s="25"/>
      <c r="L21" s="25"/>
    </row>
    <row r="22" spans="2:14" x14ac:dyDescent="0.25">
      <c r="B22" s="515" t="s">
        <v>271</v>
      </c>
      <c r="C22" s="503"/>
      <c r="D22" s="503"/>
      <c r="E22" s="503"/>
      <c r="F22" s="503"/>
      <c r="G22" s="21"/>
      <c r="H22" s="21"/>
      <c r="I22" s="21"/>
      <c r="J22" s="25"/>
      <c r="K22" s="25"/>
      <c r="L22" s="25"/>
    </row>
    <row r="23" spans="2:14" x14ac:dyDescent="0.25">
      <c r="B23" s="512" t="s">
        <v>272</v>
      </c>
      <c r="C23" s="520"/>
      <c r="D23" s="520"/>
      <c r="E23" s="520"/>
      <c r="F23" s="520"/>
      <c r="G23" s="26"/>
      <c r="H23" s="26"/>
      <c r="I23" s="27"/>
      <c r="J23" s="27"/>
      <c r="K23" s="27"/>
      <c r="L23" s="27"/>
    </row>
    <row r="24" spans="2:14" ht="15" customHeight="1" x14ac:dyDescent="0.25">
      <c r="B24" s="521" t="s">
        <v>273</v>
      </c>
      <c r="C24" s="521"/>
      <c r="D24" s="521"/>
      <c r="E24" s="521"/>
      <c r="F24" s="522"/>
      <c r="G24" s="442" t="e">
        <f>G15+G23</f>
        <v>#REF!</v>
      </c>
      <c r="H24" s="442" t="e">
        <f t="shared" ref="H24:J24" si="4">H15+H23</f>
        <v>#REF!</v>
      </c>
      <c r="I24" s="442">
        <f t="shared" ref="I24" si="5">I15+I23</f>
        <v>245592.84999999404</v>
      </c>
      <c r="J24" s="442">
        <f t="shared" si="4"/>
        <v>245592.84999999776</v>
      </c>
      <c r="K24" s="18">
        <f>K15+K23</f>
        <v>652563.60000000149</v>
      </c>
      <c r="L24" s="18">
        <f>L15+L23</f>
        <v>879976.30999999866</v>
      </c>
    </row>
    <row r="25" spans="2:14" ht="15" customHeight="1" x14ac:dyDescent="0.25">
      <c r="B25" s="7"/>
      <c r="C25" s="7"/>
      <c r="D25" s="7"/>
      <c r="E25" s="7"/>
      <c r="F25" s="7"/>
      <c r="G25" s="7"/>
      <c r="H25" s="7"/>
      <c r="I25" s="7"/>
      <c r="J25" s="5"/>
      <c r="K25" s="5"/>
      <c r="L25" s="5"/>
    </row>
    <row r="26" spans="2:14" x14ac:dyDescent="0.25">
      <c r="B26" s="1"/>
      <c r="C26" s="2"/>
      <c r="D26" s="2"/>
      <c r="E26" s="2"/>
      <c r="F26" s="506" t="s">
        <v>274</v>
      </c>
      <c r="G26" s="506"/>
      <c r="H26" s="506"/>
      <c r="I26" s="506"/>
      <c r="J26" s="506"/>
      <c r="K26" s="506"/>
      <c r="L26" s="506"/>
      <c r="M26" s="2"/>
      <c r="N26" s="2"/>
    </row>
    <row r="27" spans="2:14" x14ac:dyDescent="0.25">
      <c r="B27" s="1"/>
      <c r="C27" s="2"/>
      <c r="D27" s="2"/>
      <c r="E27" s="2"/>
      <c r="F27" s="506"/>
      <c r="G27" s="506"/>
      <c r="H27" s="506"/>
      <c r="I27" s="506"/>
      <c r="J27" s="506"/>
      <c r="K27" s="506"/>
      <c r="L27" s="506"/>
    </row>
    <row r="28" spans="2:14" ht="31.5" customHeight="1" x14ac:dyDescent="0.25">
      <c r="B28" s="508" t="s">
        <v>261</v>
      </c>
      <c r="C28" s="509"/>
      <c r="D28" s="509"/>
      <c r="E28" s="509"/>
      <c r="F28" s="510"/>
      <c r="G28" s="13" t="s">
        <v>552</v>
      </c>
      <c r="H28" s="13" t="s">
        <v>556</v>
      </c>
      <c r="I28" s="13" t="s">
        <v>719</v>
      </c>
      <c r="J28" s="14" t="s">
        <v>554</v>
      </c>
      <c r="K28" s="14" t="s">
        <v>555</v>
      </c>
      <c r="L28" s="15" t="s">
        <v>553</v>
      </c>
    </row>
    <row r="29" spans="2:14" ht="30" customHeight="1" x14ac:dyDescent="0.25">
      <c r="B29" s="522" t="s">
        <v>275</v>
      </c>
      <c r="C29" s="523"/>
      <c r="D29" s="523"/>
      <c r="E29" s="523"/>
      <c r="F29" s="524"/>
      <c r="G29" s="443">
        <v>0</v>
      </c>
      <c r="H29" s="443" t="e">
        <f>G29+G30</f>
        <v>#REF!</v>
      </c>
      <c r="I29" s="18">
        <v>-4599353.6900000004</v>
      </c>
      <c r="J29" s="18">
        <f>H30</f>
        <v>-1778132.76</v>
      </c>
      <c r="K29" s="18">
        <f>J31</f>
        <v>-1532539.9100000022</v>
      </c>
      <c r="L29" s="18">
        <f>K31</f>
        <v>-879976.31000000075</v>
      </c>
    </row>
    <row r="30" spans="2:14" ht="15" customHeight="1" x14ac:dyDescent="0.25">
      <c r="B30" s="522" t="s">
        <v>276</v>
      </c>
      <c r="C30" s="523"/>
      <c r="D30" s="523"/>
      <c r="E30" s="523"/>
      <c r="F30" s="524"/>
      <c r="G30" s="443" t="e">
        <f>G15</f>
        <v>#REF!</v>
      </c>
      <c r="H30" s="443">
        <v>-1778132.76</v>
      </c>
      <c r="I30" s="443"/>
      <c r="J30" s="443"/>
      <c r="K30" s="443"/>
      <c r="L30" s="443"/>
    </row>
    <row r="31" spans="2:14" ht="45" customHeight="1" x14ac:dyDescent="0.25">
      <c r="B31" s="518" t="s">
        <v>277</v>
      </c>
      <c r="C31" s="528"/>
      <c r="D31" s="528"/>
      <c r="E31" s="528"/>
      <c r="F31" s="529"/>
      <c r="G31" s="444"/>
      <c r="H31" s="444"/>
      <c r="I31" s="443">
        <f>I24+I29</f>
        <v>-4353760.8400000064</v>
      </c>
      <c r="J31" s="443">
        <f>J24+J29</f>
        <v>-1532539.9100000022</v>
      </c>
      <c r="K31" s="443">
        <f t="shared" ref="K31" si="6">K24+K29</f>
        <v>-879976.31000000075</v>
      </c>
      <c r="L31" s="443">
        <f>L24+L29</f>
        <v>-2.0954757928848267E-9</v>
      </c>
    </row>
    <row r="32" spans="2:14" x14ac:dyDescent="0.25">
      <c r="B32" s="3"/>
      <c r="C32" s="4"/>
      <c r="D32" s="4"/>
      <c r="E32" s="4"/>
      <c r="F32" s="4"/>
      <c r="G32" s="4"/>
      <c r="H32" s="4"/>
      <c r="I32" s="4"/>
      <c r="J32" s="5"/>
      <c r="K32" s="5"/>
      <c r="L32" s="5"/>
    </row>
    <row r="33" spans="2:12" x14ac:dyDescent="0.25">
      <c r="B33" s="1"/>
      <c r="C33" s="2"/>
      <c r="D33" s="2"/>
      <c r="E33" s="2"/>
      <c r="F33" s="506" t="s">
        <v>278</v>
      </c>
      <c r="G33" s="506"/>
      <c r="H33" s="506"/>
      <c r="I33" s="506"/>
      <c r="J33" s="506"/>
      <c r="K33" s="506"/>
      <c r="L33" s="506"/>
    </row>
    <row r="34" spans="2:12" x14ac:dyDescent="0.25">
      <c r="B34" s="1"/>
      <c r="C34" s="2"/>
      <c r="D34" s="2"/>
      <c r="E34" s="2"/>
      <c r="F34" s="506"/>
      <c r="G34" s="506"/>
      <c r="H34" s="506"/>
      <c r="I34" s="506"/>
      <c r="J34" s="506"/>
      <c r="K34" s="506"/>
      <c r="L34" s="506"/>
    </row>
    <row r="35" spans="2:12" ht="31.5" customHeight="1" x14ac:dyDescent="0.25">
      <c r="B35" s="508" t="s">
        <v>261</v>
      </c>
      <c r="C35" s="509"/>
      <c r="D35" s="509"/>
      <c r="E35" s="509"/>
      <c r="F35" s="510"/>
      <c r="G35" s="13" t="s">
        <v>552</v>
      </c>
      <c r="H35" s="13" t="s">
        <v>556</v>
      </c>
      <c r="I35" s="13" t="s">
        <v>719</v>
      </c>
      <c r="J35" s="14" t="s">
        <v>554</v>
      </c>
      <c r="K35" s="14" t="s">
        <v>555</v>
      </c>
      <c r="L35" s="15" t="s">
        <v>553</v>
      </c>
    </row>
    <row r="36" spans="2:12" ht="30" customHeight="1" x14ac:dyDescent="0.25">
      <c r="B36" s="522" t="s">
        <v>279</v>
      </c>
      <c r="C36" s="523"/>
      <c r="D36" s="523"/>
      <c r="E36" s="523"/>
      <c r="F36" s="524"/>
      <c r="G36" s="443">
        <f>G29</f>
        <v>0</v>
      </c>
      <c r="H36" s="443" t="e">
        <f>G39</f>
        <v>#REF!</v>
      </c>
      <c r="I36" s="443">
        <f>I29</f>
        <v>-4599353.6900000004</v>
      </c>
      <c r="J36" s="443">
        <f>H39</f>
        <v>-1778132.76</v>
      </c>
      <c r="K36" s="443">
        <f t="shared" ref="K36:L36" si="7">J39</f>
        <v>-1532539.9100000022</v>
      </c>
      <c r="L36" s="443">
        <f t="shared" si="7"/>
        <v>-879976.31000000075</v>
      </c>
    </row>
    <row r="37" spans="2:12" ht="30" customHeight="1" x14ac:dyDescent="0.25">
      <c r="B37" s="522" t="s">
        <v>280</v>
      </c>
      <c r="C37" s="523"/>
      <c r="D37" s="523"/>
      <c r="E37" s="523"/>
      <c r="F37" s="524"/>
      <c r="G37" s="446" t="e">
        <f>G15</f>
        <v>#REF!</v>
      </c>
      <c r="H37" s="446" t="e">
        <f>H15</f>
        <v>#REF!</v>
      </c>
      <c r="I37" s="18">
        <f>I24</f>
        <v>245592.84999999404</v>
      </c>
      <c r="J37" s="18">
        <f>J24</f>
        <v>245592.84999999776</v>
      </c>
      <c r="K37" s="18">
        <f>K24</f>
        <v>652563.60000000149</v>
      </c>
      <c r="L37" s="18">
        <f>L24</f>
        <v>879976.30999999866</v>
      </c>
    </row>
    <row r="38" spans="2:12" x14ac:dyDescent="0.25">
      <c r="B38" s="525" t="s">
        <v>666</v>
      </c>
      <c r="C38" s="526"/>
      <c r="D38" s="526"/>
      <c r="E38" s="526"/>
      <c r="F38" s="527"/>
      <c r="G38" s="445"/>
      <c r="H38" s="445"/>
      <c r="I38" s="18">
        <v>0</v>
      </c>
      <c r="J38" s="18">
        <v>0</v>
      </c>
      <c r="K38" s="18">
        <v>0</v>
      </c>
      <c r="L38" s="18"/>
    </row>
    <row r="39" spans="2:12" x14ac:dyDescent="0.25">
      <c r="B39" s="518" t="s">
        <v>276</v>
      </c>
      <c r="C39" s="528"/>
      <c r="D39" s="528"/>
      <c r="E39" s="528"/>
      <c r="F39" s="529"/>
      <c r="G39" s="444" t="e">
        <f>G36+G37</f>
        <v>#REF!</v>
      </c>
      <c r="H39" s="444">
        <f>H30</f>
        <v>-1778132.76</v>
      </c>
      <c r="I39" s="444">
        <f t="shared" ref="I39" si="8">I36+I37</f>
        <v>-4353760.8400000064</v>
      </c>
      <c r="J39" s="444">
        <f t="shared" ref="J39:L39" si="9">J36+J37</f>
        <v>-1532539.9100000022</v>
      </c>
      <c r="K39" s="444">
        <f t="shared" si="9"/>
        <v>-879976.31000000075</v>
      </c>
      <c r="L39" s="444">
        <f t="shared" si="9"/>
        <v>-2.0954757928848267E-9</v>
      </c>
    </row>
  </sheetData>
  <mergeCells count="33">
    <mergeCell ref="B36:F36"/>
    <mergeCell ref="B37:F37"/>
    <mergeCell ref="B38:F38"/>
    <mergeCell ref="B39:F39"/>
    <mergeCell ref="B29:F29"/>
    <mergeCell ref="B30:F30"/>
    <mergeCell ref="B31:F31"/>
    <mergeCell ref="F33:L33"/>
    <mergeCell ref="F34:L34"/>
    <mergeCell ref="B35:F35"/>
    <mergeCell ref="B28:F28"/>
    <mergeCell ref="B14:F14"/>
    <mergeCell ref="B15:F15"/>
    <mergeCell ref="F17:L17"/>
    <mergeCell ref="B19:F19"/>
    <mergeCell ref="B20:F20"/>
    <mergeCell ref="B21:F21"/>
    <mergeCell ref="B22:F22"/>
    <mergeCell ref="B23:F23"/>
    <mergeCell ref="B24:F24"/>
    <mergeCell ref="F26:L26"/>
    <mergeCell ref="F27:L27"/>
    <mergeCell ref="B1:L1"/>
    <mergeCell ref="B13:F13"/>
    <mergeCell ref="B3:L3"/>
    <mergeCell ref="B4:D4"/>
    <mergeCell ref="F5:L5"/>
    <mergeCell ref="B6:F6"/>
    <mergeCell ref="B7:F7"/>
    <mergeCell ref="B8:F8"/>
    <mergeCell ref="B9:F9"/>
    <mergeCell ref="B10:F10"/>
    <mergeCell ref="B11:F11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L88"/>
  <sheetViews>
    <sheetView topLeftCell="B1" zoomScaleNormal="100" workbookViewId="0">
      <selection activeCell="L64" sqref="L1:L1048576"/>
    </sheetView>
  </sheetViews>
  <sheetFormatPr defaultRowHeight="15.75" x14ac:dyDescent="0.25"/>
  <cols>
    <col min="1" max="1" width="0" style="6" hidden="1" customWidth="1"/>
    <col min="2" max="2" width="7" style="6" bestFit="1" customWidth="1"/>
    <col min="3" max="3" width="9.140625" style="6"/>
    <col min="4" max="4" width="55.85546875" style="6" customWidth="1"/>
    <col min="5" max="6" width="21.28515625" style="6" hidden="1" customWidth="1"/>
    <col min="7" max="7" width="17.85546875" style="6" bestFit="1" customWidth="1"/>
    <col min="8" max="8" width="17.7109375" style="6" customWidth="1"/>
    <col min="9" max="10" width="18.85546875" style="6" hidden="1" customWidth="1"/>
    <col min="11" max="11" width="181.42578125" style="6" hidden="1" customWidth="1"/>
    <col min="12" max="24" width="9.140625" style="6" customWidth="1"/>
    <col min="25" max="258" width="9.140625" style="6"/>
    <col min="259" max="259" width="7" style="6" bestFit="1" customWidth="1"/>
    <col min="260" max="260" width="9.140625" style="6"/>
    <col min="261" max="261" width="41.28515625" style="6" bestFit="1" customWidth="1"/>
    <col min="262" max="264" width="20.28515625" style="6" bestFit="1" customWidth="1"/>
    <col min="265" max="514" width="9.140625" style="6"/>
    <col min="515" max="515" width="7" style="6" bestFit="1" customWidth="1"/>
    <col min="516" max="516" width="9.140625" style="6"/>
    <col min="517" max="517" width="41.28515625" style="6" bestFit="1" customWidth="1"/>
    <col min="518" max="520" width="20.28515625" style="6" bestFit="1" customWidth="1"/>
    <col min="521" max="770" width="9.140625" style="6"/>
    <col min="771" max="771" width="7" style="6" bestFit="1" customWidth="1"/>
    <col min="772" max="772" width="9.140625" style="6"/>
    <col min="773" max="773" width="41.28515625" style="6" bestFit="1" customWidth="1"/>
    <col min="774" max="776" width="20.28515625" style="6" bestFit="1" customWidth="1"/>
    <col min="777" max="1026" width="9.140625" style="6"/>
    <col min="1027" max="1027" width="7" style="6" bestFit="1" customWidth="1"/>
    <col min="1028" max="1028" width="9.140625" style="6"/>
    <col min="1029" max="1029" width="41.28515625" style="6" bestFit="1" customWidth="1"/>
    <col min="1030" max="1032" width="20.28515625" style="6" bestFit="1" customWidth="1"/>
    <col min="1033" max="1282" width="9.140625" style="6"/>
    <col min="1283" max="1283" width="7" style="6" bestFit="1" customWidth="1"/>
    <col min="1284" max="1284" width="9.140625" style="6"/>
    <col min="1285" max="1285" width="41.28515625" style="6" bestFit="1" customWidth="1"/>
    <col min="1286" max="1288" width="20.28515625" style="6" bestFit="1" customWidth="1"/>
    <col min="1289" max="1538" width="9.140625" style="6"/>
    <col min="1539" max="1539" width="7" style="6" bestFit="1" customWidth="1"/>
    <col min="1540" max="1540" width="9.140625" style="6"/>
    <col min="1541" max="1541" width="41.28515625" style="6" bestFit="1" customWidth="1"/>
    <col min="1542" max="1544" width="20.28515625" style="6" bestFit="1" customWidth="1"/>
    <col min="1545" max="1794" width="9.140625" style="6"/>
    <col min="1795" max="1795" width="7" style="6" bestFit="1" customWidth="1"/>
    <col min="1796" max="1796" width="9.140625" style="6"/>
    <col min="1797" max="1797" width="41.28515625" style="6" bestFit="1" customWidth="1"/>
    <col min="1798" max="1800" width="20.28515625" style="6" bestFit="1" customWidth="1"/>
    <col min="1801" max="2050" width="9.140625" style="6"/>
    <col min="2051" max="2051" width="7" style="6" bestFit="1" customWidth="1"/>
    <col min="2052" max="2052" width="9.140625" style="6"/>
    <col min="2053" max="2053" width="41.28515625" style="6" bestFit="1" customWidth="1"/>
    <col min="2054" max="2056" width="20.28515625" style="6" bestFit="1" customWidth="1"/>
    <col min="2057" max="2306" width="9.140625" style="6"/>
    <col min="2307" max="2307" width="7" style="6" bestFit="1" customWidth="1"/>
    <col min="2308" max="2308" width="9.140625" style="6"/>
    <col min="2309" max="2309" width="41.28515625" style="6" bestFit="1" customWidth="1"/>
    <col min="2310" max="2312" width="20.28515625" style="6" bestFit="1" customWidth="1"/>
    <col min="2313" max="2562" width="9.140625" style="6"/>
    <col min="2563" max="2563" width="7" style="6" bestFit="1" customWidth="1"/>
    <col min="2564" max="2564" width="9.140625" style="6"/>
    <col min="2565" max="2565" width="41.28515625" style="6" bestFit="1" customWidth="1"/>
    <col min="2566" max="2568" width="20.28515625" style="6" bestFit="1" customWidth="1"/>
    <col min="2569" max="2818" width="9.140625" style="6"/>
    <col min="2819" max="2819" width="7" style="6" bestFit="1" customWidth="1"/>
    <col min="2820" max="2820" width="9.140625" style="6"/>
    <col min="2821" max="2821" width="41.28515625" style="6" bestFit="1" customWidth="1"/>
    <col min="2822" max="2824" width="20.28515625" style="6" bestFit="1" customWidth="1"/>
    <col min="2825" max="3074" width="9.140625" style="6"/>
    <col min="3075" max="3075" width="7" style="6" bestFit="1" customWidth="1"/>
    <col min="3076" max="3076" width="9.140625" style="6"/>
    <col min="3077" max="3077" width="41.28515625" style="6" bestFit="1" customWidth="1"/>
    <col min="3078" max="3080" width="20.28515625" style="6" bestFit="1" customWidth="1"/>
    <col min="3081" max="3330" width="9.140625" style="6"/>
    <col min="3331" max="3331" width="7" style="6" bestFit="1" customWidth="1"/>
    <col min="3332" max="3332" width="9.140625" style="6"/>
    <col min="3333" max="3333" width="41.28515625" style="6" bestFit="1" customWidth="1"/>
    <col min="3334" max="3336" width="20.28515625" style="6" bestFit="1" customWidth="1"/>
    <col min="3337" max="3586" width="9.140625" style="6"/>
    <col min="3587" max="3587" width="7" style="6" bestFit="1" customWidth="1"/>
    <col min="3588" max="3588" width="9.140625" style="6"/>
    <col min="3589" max="3589" width="41.28515625" style="6" bestFit="1" customWidth="1"/>
    <col min="3590" max="3592" width="20.28515625" style="6" bestFit="1" customWidth="1"/>
    <col min="3593" max="3842" width="9.140625" style="6"/>
    <col min="3843" max="3843" width="7" style="6" bestFit="1" customWidth="1"/>
    <col min="3844" max="3844" width="9.140625" style="6"/>
    <col min="3845" max="3845" width="41.28515625" style="6" bestFit="1" customWidth="1"/>
    <col min="3846" max="3848" width="20.28515625" style="6" bestFit="1" customWidth="1"/>
    <col min="3849" max="4098" width="9.140625" style="6"/>
    <col min="4099" max="4099" width="7" style="6" bestFit="1" customWidth="1"/>
    <col min="4100" max="4100" width="9.140625" style="6"/>
    <col min="4101" max="4101" width="41.28515625" style="6" bestFit="1" customWidth="1"/>
    <col min="4102" max="4104" width="20.28515625" style="6" bestFit="1" customWidth="1"/>
    <col min="4105" max="4354" width="9.140625" style="6"/>
    <col min="4355" max="4355" width="7" style="6" bestFit="1" customWidth="1"/>
    <col min="4356" max="4356" width="9.140625" style="6"/>
    <col min="4357" max="4357" width="41.28515625" style="6" bestFit="1" customWidth="1"/>
    <col min="4358" max="4360" width="20.28515625" style="6" bestFit="1" customWidth="1"/>
    <col min="4361" max="4610" width="9.140625" style="6"/>
    <col min="4611" max="4611" width="7" style="6" bestFit="1" customWidth="1"/>
    <col min="4612" max="4612" width="9.140625" style="6"/>
    <col min="4613" max="4613" width="41.28515625" style="6" bestFit="1" customWidth="1"/>
    <col min="4614" max="4616" width="20.28515625" style="6" bestFit="1" customWidth="1"/>
    <col min="4617" max="4866" width="9.140625" style="6"/>
    <col min="4867" max="4867" width="7" style="6" bestFit="1" customWidth="1"/>
    <col min="4868" max="4868" width="9.140625" style="6"/>
    <col min="4869" max="4869" width="41.28515625" style="6" bestFit="1" customWidth="1"/>
    <col min="4870" max="4872" width="20.28515625" style="6" bestFit="1" customWidth="1"/>
    <col min="4873" max="5122" width="9.140625" style="6"/>
    <col min="5123" max="5123" width="7" style="6" bestFit="1" customWidth="1"/>
    <col min="5124" max="5124" width="9.140625" style="6"/>
    <col min="5125" max="5125" width="41.28515625" style="6" bestFit="1" customWidth="1"/>
    <col min="5126" max="5128" width="20.28515625" style="6" bestFit="1" customWidth="1"/>
    <col min="5129" max="5378" width="9.140625" style="6"/>
    <col min="5379" max="5379" width="7" style="6" bestFit="1" customWidth="1"/>
    <col min="5380" max="5380" width="9.140625" style="6"/>
    <col min="5381" max="5381" width="41.28515625" style="6" bestFit="1" customWidth="1"/>
    <col min="5382" max="5384" width="20.28515625" style="6" bestFit="1" customWidth="1"/>
    <col min="5385" max="5634" width="9.140625" style="6"/>
    <col min="5635" max="5635" width="7" style="6" bestFit="1" customWidth="1"/>
    <col min="5636" max="5636" width="9.140625" style="6"/>
    <col min="5637" max="5637" width="41.28515625" style="6" bestFit="1" customWidth="1"/>
    <col min="5638" max="5640" width="20.28515625" style="6" bestFit="1" customWidth="1"/>
    <col min="5641" max="5890" width="9.140625" style="6"/>
    <col min="5891" max="5891" width="7" style="6" bestFit="1" customWidth="1"/>
    <col min="5892" max="5892" width="9.140625" style="6"/>
    <col min="5893" max="5893" width="41.28515625" style="6" bestFit="1" customWidth="1"/>
    <col min="5894" max="5896" width="20.28515625" style="6" bestFit="1" customWidth="1"/>
    <col min="5897" max="6146" width="9.140625" style="6"/>
    <col min="6147" max="6147" width="7" style="6" bestFit="1" customWidth="1"/>
    <col min="6148" max="6148" width="9.140625" style="6"/>
    <col min="6149" max="6149" width="41.28515625" style="6" bestFit="1" customWidth="1"/>
    <col min="6150" max="6152" width="20.28515625" style="6" bestFit="1" customWidth="1"/>
    <col min="6153" max="6402" width="9.140625" style="6"/>
    <col min="6403" max="6403" width="7" style="6" bestFit="1" customWidth="1"/>
    <col min="6404" max="6404" width="9.140625" style="6"/>
    <col min="6405" max="6405" width="41.28515625" style="6" bestFit="1" customWidth="1"/>
    <col min="6406" max="6408" width="20.28515625" style="6" bestFit="1" customWidth="1"/>
    <col min="6409" max="6658" width="9.140625" style="6"/>
    <col min="6659" max="6659" width="7" style="6" bestFit="1" customWidth="1"/>
    <col min="6660" max="6660" width="9.140625" style="6"/>
    <col min="6661" max="6661" width="41.28515625" style="6" bestFit="1" customWidth="1"/>
    <col min="6662" max="6664" width="20.28515625" style="6" bestFit="1" customWidth="1"/>
    <col min="6665" max="6914" width="9.140625" style="6"/>
    <col min="6915" max="6915" width="7" style="6" bestFit="1" customWidth="1"/>
    <col min="6916" max="6916" width="9.140625" style="6"/>
    <col min="6917" max="6917" width="41.28515625" style="6" bestFit="1" customWidth="1"/>
    <col min="6918" max="6920" width="20.28515625" style="6" bestFit="1" customWidth="1"/>
    <col min="6921" max="7170" width="9.140625" style="6"/>
    <col min="7171" max="7171" width="7" style="6" bestFit="1" customWidth="1"/>
    <col min="7172" max="7172" width="9.140625" style="6"/>
    <col min="7173" max="7173" width="41.28515625" style="6" bestFit="1" customWidth="1"/>
    <col min="7174" max="7176" width="20.28515625" style="6" bestFit="1" customWidth="1"/>
    <col min="7177" max="7426" width="9.140625" style="6"/>
    <col min="7427" max="7427" width="7" style="6" bestFit="1" customWidth="1"/>
    <col min="7428" max="7428" width="9.140625" style="6"/>
    <col min="7429" max="7429" width="41.28515625" style="6" bestFit="1" customWidth="1"/>
    <col min="7430" max="7432" width="20.28515625" style="6" bestFit="1" customWidth="1"/>
    <col min="7433" max="7682" width="9.140625" style="6"/>
    <col min="7683" max="7683" width="7" style="6" bestFit="1" customWidth="1"/>
    <col min="7684" max="7684" width="9.140625" style="6"/>
    <col min="7685" max="7685" width="41.28515625" style="6" bestFit="1" customWidth="1"/>
    <col min="7686" max="7688" width="20.28515625" style="6" bestFit="1" customWidth="1"/>
    <col min="7689" max="7938" width="9.140625" style="6"/>
    <col min="7939" max="7939" width="7" style="6" bestFit="1" customWidth="1"/>
    <col min="7940" max="7940" width="9.140625" style="6"/>
    <col min="7941" max="7941" width="41.28515625" style="6" bestFit="1" customWidth="1"/>
    <col min="7942" max="7944" width="20.28515625" style="6" bestFit="1" customWidth="1"/>
    <col min="7945" max="8194" width="9.140625" style="6"/>
    <col min="8195" max="8195" width="7" style="6" bestFit="1" customWidth="1"/>
    <col min="8196" max="8196" width="9.140625" style="6"/>
    <col min="8197" max="8197" width="41.28515625" style="6" bestFit="1" customWidth="1"/>
    <col min="8198" max="8200" width="20.28515625" style="6" bestFit="1" customWidth="1"/>
    <col min="8201" max="8450" width="9.140625" style="6"/>
    <col min="8451" max="8451" width="7" style="6" bestFit="1" customWidth="1"/>
    <col min="8452" max="8452" width="9.140625" style="6"/>
    <col min="8453" max="8453" width="41.28515625" style="6" bestFit="1" customWidth="1"/>
    <col min="8454" max="8456" width="20.28515625" style="6" bestFit="1" customWidth="1"/>
    <col min="8457" max="8706" width="9.140625" style="6"/>
    <col min="8707" max="8707" width="7" style="6" bestFit="1" customWidth="1"/>
    <col min="8708" max="8708" width="9.140625" style="6"/>
    <col min="8709" max="8709" width="41.28515625" style="6" bestFit="1" customWidth="1"/>
    <col min="8710" max="8712" width="20.28515625" style="6" bestFit="1" customWidth="1"/>
    <col min="8713" max="8962" width="9.140625" style="6"/>
    <col min="8963" max="8963" width="7" style="6" bestFit="1" customWidth="1"/>
    <col min="8964" max="8964" width="9.140625" style="6"/>
    <col min="8965" max="8965" width="41.28515625" style="6" bestFit="1" customWidth="1"/>
    <col min="8966" max="8968" width="20.28515625" style="6" bestFit="1" customWidth="1"/>
    <col min="8969" max="9218" width="9.140625" style="6"/>
    <col min="9219" max="9219" width="7" style="6" bestFit="1" customWidth="1"/>
    <col min="9220" max="9220" width="9.140625" style="6"/>
    <col min="9221" max="9221" width="41.28515625" style="6" bestFit="1" customWidth="1"/>
    <col min="9222" max="9224" width="20.28515625" style="6" bestFit="1" customWidth="1"/>
    <col min="9225" max="9474" width="9.140625" style="6"/>
    <col min="9475" max="9475" width="7" style="6" bestFit="1" customWidth="1"/>
    <col min="9476" max="9476" width="9.140625" style="6"/>
    <col min="9477" max="9477" width="41.28515625" style="6" bestFit="1" customWidth="1"/>
    <col min="9478" max="9480" width="20.28515625" style="6" bestFit="1" customWidth="1"/>
    <col min="9481" max="9730" width="9.140625" style="6"/>
    <col min="9731" max="9731" width="7" style="6" bestFit="1" customWidth="1"/>
    <col min="9732" max="9732" width="9.140625" style="6"/>
    <col min="9733" max="9733" width="41.28515625" style="6" bestFit="1" customWidth="1"/>
    <col min="9734" max="9736" width="20.28515625" style="6" bestFit="1" customWidth="1"/>
    <col min="9737" max="9986" width="9.140625" style="6"/>
    <col min="9987" max="9987" width="7" style="6" bestFit="1" customWidth="1"/>
    <col min="9988" max="9988" width="9.140625" style="6"/>
    <col min="9989" max="9989" width="41.28515625" style="6" bestFit="1" customWidth="1"/>
    <col min="9990" max="9992" width="20.28515625" style="6" bestFit="1" customWidth="1"/>
    <col min="9993" max="10242" width="9.140625" style="6"/>
    <col min="10243" max="10243" width="7" style="6" bestFit="1" customWidth="1"/>
    <col min="10244" max="10244" width="9.140625" style="6"/>
    <col min="10245" max="10245" width="41.28515625" style="6" bestFit="1" customWidth="1"/>
    <col min="10246" max="10248" width="20.28515625" style="6" bestFit="1" customWidth="1"/>
    <col min="10249" max="10498" width="9.140625" style="6"/>
    <col min="10499" max="10499" width="7" style="6" bestFit="1" customWidth="1"/>
    <col min="10500" max="10500" width="9.140625" style="6"/>
    <col min="10501" max="10501" width="41.28515625" style="6" bestFit="1" customWidth="1"/>
    <col min="10502" max="10504" width="20.28515625" style="6" bestFit="1" customWidth="1"/>
    <col min="10505" max="10754" width="9.140625" style="6"/>
    <col min="10755" max="10755" width="7" style="6" bestFit="1" customWidth="1"/>
    <col min="10756" max="10756" width="9.140625" style="6"/>
    <col min="10757" max="10757" width="41.28515625" style="6" bestFit="1" customWidth="1"/>
    <col min="10758" max="10760" width="20.28515625" style="6" bestFit="1" customWidth="1"/>
    <col min="10761" max="11010" width="9.140625" style="6"/>
    <col min="11011" max="11011" width="7" style="6" bestFit="1" customWidth="1"/>
    <col min="11012" max="11012" width="9.140625" style="6"/>
    <col min="11013" max="11013" width="41.28515625" style="6" bestFit="1" customWidth="1"/>
    <col min="11014" max="11016" width="20.28515625" style="6" bestFit="1" customWidth="1"/>
    <col min="11017" max="11266" width="9.140625" style="6"/>
    <col min="11267" max="11267" width="7" style="6" bestFit="1" customWidth="1"/>
    <col min="11268" max="11268" width="9.140625" style="6"/>
    <col min="11269" max="11269" width="41.28515625" style="6" bestFit="1" customWidth="1"/>
    <col min="11270" max="11272" width="20.28515625" style="6" bestFit="1" customWidth="1"/>
    <col min="11273" max="11522" width="9.140625" style="6"/>
    <col min="11523" max="11523" width="7" style="6" bestFit="1" customWidth="1"/>
    <col min="11524" max="11524" width="9.140625" style="6"/>
    <col min="11525" max="11525" width="41.28515625" style="6" bestFit="1" customWidth="1"/>
    <col min="11526" max="11528" width="20.28515625" style="6" bestFit="1" customWidth="1"/>
    <col min="11529" max="11778" width="9.140625" style="6"/>
    <col min="11779" max="11779" width="7" style="6" bestFit="1" customWidth="1"/>
    <col min="11780" max="11780" width="9.140625" style="6"/>
    <col min="11781" max="11781" width="41.28515625" style="6" bestFit="1" customWidth="1"/>
    <col min="11782" max="11784" width="20.28515625" style="6" bestFit="1" customWidth="1"/>
    <col min="11785" max="12034" width="9.140625" style="6"/>
    <col min="12035" max="12035" width="7" style="6" bestFit="1" customWidth="1"/>
    <col min="12036" max="12036" width="9.140625" style="6"/>
    <col min="12037" max="12037" width="41.28515625" style="6" bestFit="1" customWidth="1"/>
    <col min="12038" max="12040" width="20.28515625" style="6" bestFit="1" customWidth="1"/>
    <col min="12041" max="12290" width="9.140625" style="6"/>
    <col min="12291" max="12291" width="7" style="6" bestFit="1" customWidth="1"/>
    <col min="12292" max="12292" width="9.140625" style="6"/>
    <col min="12293" max="12293" width="41.28515625" style="6" bestFit="1" customWidth="1"/>
    <col min="12294" max="12296" width="20.28515625" style="6" bestFit="1" customWidth="1"/>
    <col min="12297" max="12546" width="9.140625" style="6"/>
    <col min="12547" max="12547" width="7" style="6" bestFit="1" customWidth="1"/>
    <col min="12548" max="12548" width="9.140625" style="6"/>
    <col min="12549" max="12549" width="41.28515625" style="6" bestFit="1" customWidth="1"/>
    <col min="12550" max="12552" width="20.28515625" style="6" bestFit="1" customWidth="1"/>
    <col min="12553" max="12802" width="9.140625" style="6"/>
    <col min="12803" max="12803" width="7" style="6" bestFit="1" customWidth="1"/>
    <col min="12804" max="12804" width="9.140625" style="6"/>
    <col min="12805" max="12805" width="41.28515625" style="6" bestFit="1" customWidth="1"/>
    <col min="12806" max="12808" width="20.28515625" style="6" bestFit="1" customWidth="1"/>
    <col min="12809" max="13058" width="9.140625" style="6"/>
    <col min="13059" max="13059" width="7" style="6" bestFit="1" customWidth="1"/>
    <col min="13060" max="13060" width="9.140625" style="6"/>
    <col min="13061" max="13061" width="41.28515625" style="6" bestFit="1" customWidth="1"/>
    <col min="13062" max="13064" width="20.28515625" style="6" bestFit="1" customWidth="1"/>
    <col min="13065" max="13314" width="9.140625" style="6"/>
    <col min="13315" max="13315" width="7" style="6" bestFit="1" customWidth="1"/>
    <col min="13316" max="13316" width="9.140625" style="6"/>
    <col min="13317" max="13317" width="41.28515625" style="6" bestFit="1" customWidth="1"/>
    <col min="13318" max="13320" width="20.28515625" style="6" bestFit="1" customWidth="1"/>
    <col min="13321" max="13570" width="9.140625" style="6"/>
    <col min="13571" max="13571" width="7" style="6" bestFit="1" customWidth="1"/>
    <col min="13572" max="13572" width="9.140625" style="6"/>
    <col min="13573" max="13573" width="41.28515625" style="6" bestFit="1" customWidth="1"/>
    <col min="13574" max="13576" width="20.28515625" style="6" bestFit="1" customWidth="1"/>
    <col min="13577" max="13826" width="9.140625" style="6"/>
    <col min="13827" max="13827" width="7" style="6" bestFit="1" customWidth="1"/>
    <col min="13828" max="13828" width="9.140625" style="6"/>
    <col min="13829" max="13829" width="41.28515625" style="6" bestFit="1" customWidth="1"/>
    <col min="13830" max="13832" width="20.28515625" style="6" bestFit="1" customWidth="1"/>
    <col min="13833" max="14082" width="9.140625" style="6"/>
    <col min="14083" max="14083" width="7" style="6" bestFit="1" customWidth="1"/>
    <col min="14084" max="14084" width="9.140625" style="6"/>
    <col min="14085" max="14085" width="41.28515625" style="6" bestFit="1" customWidth="1"/>
    <col min="14086" max="14088" width="20.28515625" style="6" bestFit="1" customWidth="1"/>
    <col min="14089" max="14338" width="9.140625" style="6"/>
    <col min="14339" max="14339" width="7" style="6" bestFit="1" customWidth="1"/>
    <col min="14340" max="14340" width="9.140625" style="6"/>
    <col min="14341" max="14341" width="41.28515625" style="6" bestFit="1" customWidth="1"/>
    <col min="14342" max="14344" width="20.28515625" style="6" bestFit="1" customWidth="1"/>
    <col min="14345" max="14594" width="9.140625" style="6"/>
    <col min="14595" max="14595" width="7" style="6" bestFit="1" customWidth="1"/>
    <col min="14596" max="14596" width="9.140625" style="6"/>
    <col min="14597" max="14597" width="41.28515625" style="6" bestFit="1" customWidth="1"/>
    <col min="14598" max="14600" width="20.28515625" style="6" bestFit="1" customWidth="1"/>
    <col min="14601" max="14850" width="9.140625" style="6"/>
    <col min="14851" max="14851" width="7" style="6" bestFit="1" customWidth="1"/>
    <col min="14852" max="14852" width="9.140625" style="6"/>
    <col min="14853" max="14853" width="41.28515625" style="6" bestFit="1" customWidth="1"/>
    <col min="14854" max="14856" width="20.28515625" style="6" bestFit="1" customWidth="1"/>
    <col min="14857" max="15106" width="9.140625" style="6"/>
    <col min="15107" max="15107" width="7" style="6" bestFit="1" customWidth="1"/>
    <col min="15108" max="15108" width="9.140625" style="6"/>
    <col min="15109" max="15109" width="41.28515625" style="6" bestFit="1" customWidth="1"/>
    <col min="15110" max="15112" width="20.28515625" style="6" bestFit="1" customWidth="1"/>
    <col min="15113" max="15362" width="9.140625" style="6"/>
    <col min="15363" max="15363" width="7" style="6" bestFit="1" customWidth="1"/>
    <col min="15364" max="15364" width="9.140625" style="6"/>
    <col min="15365" max="15365" width="41.28515625" style="6" bestFit="1" customWidth="1"/>
    <col min="15366" max="15368" width="20.28515625" style="6" bestFit="1" customWidth="1"/>
    <col min="15369" max="15618" width="9.140625" style="6"/>
    <col min="15619" max="15619" width="7" style="6" bestFit="1" customWidth="1"/>
    <col min="15620" max="15620" width="9.140625" style="6"/>
    <col min="15621" max="15621" width="41.28515625" style="6" bestFit="1" customWidth="1"/>
    <col min="15622" max="15624" width="20.28515625" style="6" bestFit="1" customWidth="1"/>
    <col min="15625" max="15874" width="9.140625" style="6"/>
    <col min="15875" max="15875" width="7" style="6" bestFit="1" customWidth="1"/>
    <col min="15876" max="15876" width="9.140625" style="6"/>
    <col min="15877" max="15877" width="41.28515625" style="6" bestFit="1" customWidth="1"/>
    <col min="15878" max="15880" width="20.28515625" style="6" bestFit="1" customWidth="1"/>
    <col min="15881" max="16130" width="9.140625" style="6"/>
    <col min="16131" max="16131" width="7" style="6" bestFit="1" customWidth="1"/>
    <col min="16132" max="16132" width="9.140625" style="6"/>
    <col min="16133" max="16133" width="41.28515625" style="6" bestFit="1" customWidth="1"/>
    <col min="16134" max="16136" width="20.28515625" style="6" bestFit="1" customWidth="1"/>
    <col min="16137" max="16383" width="9.140625" style="6"/>
    <col min="16384" max="16384" width="9.140625" style="6" customWidth="1"/>
  </cols>
  <sheetData>
    <row r="2" spans="2:12" ht="15.75" customHeight="1" x14ac:dyDescent="0.25">
      <c r="B2" s="533" t="s">
        <v>0</v>
      </c>
      <c r="C2" s="533"/>
      <c r="D2" s="533"/>
      <c r="E2" s="533"/>
      <c r="F2" s="533"/>
      <c r="G2" s="533"/>
      <c r="H2" s="533"/>
      <c r="I2" s="533"/>
      <c r="J2" s="533"/>
    </row>
    <row r="3" spans="2:12" ht="15.75" customHeight="1" x14ac:dyDescent="0.25">
      <c r="B3" s="28"/>
      <c r="C3" s="28"/>
      <c r="D3" s="28"/>
      <c r="E3" s="28"/>
      <c r="F3" s="28"/>
      <c r="G3" s="28"/>
      <c r="H3" s="28"/>
      <c r="I3" s="28"/>
      <c r="J3" s="28"/>
    </row>
    <row r="4" spans="2:12" ht="15.75" customHeight="1" x14ac:dyDescent="0.25">
      <c r="B4" s="533" t="s">
        <v>1</v>
      </c>
      <c r="C4" s="533"/>
      <c r="D4" s="533"/>
      <c r="E4" s="533"/>
      <c r="F4" s="533"/>
      <c r="G4" s="533"/>
      <c r="H4" s="533"/>
      <c r="I4" s="533"/>
      <c r="J4" s="533"/>
    </row>
    <row r="5" spans="2:12" x14ac:dyDescent="0.25">
      <c r="B5" s="32"/>
      <c r="C5" s="32"/>
      <c r="D5" s="32"/>
      <c r="E5" s="32"/>
      <c r="F5" s="32"/>
      <c r="G5" s="32"/>
      <c r="H5" s="32"/>
      <c r="I5" s="32"/>
      <c r="J5" s="32"/>
    </row>
    <row r="6" spans="2:12" x14ac:dyDescent="0.25">
      <c r="B6" s="534" t="s">
        <v>234</v>
      </c>
      <c r="C6" s="534"/>
      <c r="D6" s="534"/>
      <c r="E6" s="534"/>
      <c r="F6" s="534"/>
      <c r="G6" s="534"/>
      <c r="H6" s="534"/>
      <c r="I6" s="534"/>
      <c r="J6" s="534"/>
    </row>
    <row r="7" spans="2:12" x14ac:dyDescent="0.25">
      <c r="B7" s="33"/>
      <c r="C7" s="535"/>
      <c r="D7" s="535"/>
      <c r="E7" s="535"/>
      <c r="F7" s="535"/>
      <c r="G7" s="535"/>
      <c r="H7" s="535"/>
      <c r="I7" s="535"/>
      <c r="J7" s="535"/>
    </row>
    <row r="8" spans="2:12" x14ac:dyDescent="0.25">
      <c r="B8" s="536" t="s">
        <v>2</v>
      </c>
      <c r="C8" s="536"/>
      <c r="D8" s="536"/>
      <c r="E8" s="536"/>
      <c r="F8" s="536"/>
      <c r="G8" s="536"/>
      <c r="H8" s="536"/>
      <c r="I8" s="536"/>
      <c r="J8" s="536"/>
    </row>
    <row r="9" spans="2:12" ht="73.5" customHeight="1" x14ac:dyDescent="0.25">
      <c r="B9" s="29" t="s">
        <v>3</v>
      </c>
      <c r="C9" s="29" t="s">
        <v>4</v>
      </c>
      <c r="D9" s="34" t="s">
        <v>6</v>
      </c>
      <c r="E9" s="29" t="s">
        <v>552</v>
      </c>
      <c r="F9" s="29" t="s">
        <v>556</v>
      </c>
      <c r="G9" s="29" t="s">
        <v>719</v>
      </c>
      <c r="H9" s="29" t="s">
        <v>554</v>
      </c>
      <c r="I9" s="30" t="s">
        <v>555</v>
      </c>
      <c r="J9" s="30" t="s">
        <v>553</v>
      </c>
    </row>
    <row r="10" spans="2:12" x14ac:dyDescent="0.25">
      <c r="B10" s="35">
        <v>6</v>
      </c>
      <c r="C10" s="36"/>
      <c r="D10" s="460" t="s">
        <v>667</v>
      </c>
      <c r="E10" s="37" t="e">
        <f t="shared" ref="E10:J10" si="0">E11+E34+E45+E51+E66+E75</f>
        <v>#REF!</v>
      </c>
      <c r="F10" s="37" t="e">
        <f t="shared" si="0"/>
        <v>#REF!</v>
      </c>
      <c r="G10" s="37">
        <f t="shared" si="0"/>
        <v>27028468.079999998</v>
      </c>
      <c r="H10" s="37">
        <f t="shared" si="0"/>
        <v>27399696.079999998</v>
      </c>
      <c r="I10" s="37">
        <f t="shared" si="0"/>
        <v>28076192.190000001</v>
      </c>
      <c r="J10" s="37">
        <f t="shared" si="0"/>
        <v>28547127.919999998</v>
      </c>
    </row>
    <row r="11" spans="2:12" x14ac:dyDescent="0.25">
      <c r="B11" s="38"/>
      <c r="C11" s="39">
        <v>63</v>
      </c>
      <c r="D11" s="40" t="s">
        <v>41</v>
      </c>
      <c r="E11" s="41" t="e">
        <f t="shared" ref="E11:J11" si="1">E12+E14+E18+E21+E26+E31</f>
        <v>#REF!</v>
      </c>
      <c r="F11" s="41" t="e">
        <f t="shared" si="1"/>
        <v>#REF!</v>
      </c>
      <c r="G11" s="41">
        <f t="shared" si="1"/>
        <v>1176423.83</v>
      </c>
      <c r="H11" s="41">
        <f t="shared" si="1"/>
        <v>1176423.83</v>
      </c>
      <c r="I11" s="41">
        <f t="shared" si="1"/>
        <v>1047924.49</v>
      </c>
      <c r="J11" s="41">
        <f t="shared" si="1"/>
        <v>994248.49</v>
      </c>
      <c r="K11" s="42" t="s">
        <v>235</v>
      </c>
      <c r="L11" s="43"/>
    </row>
    <row r="12" spans="2:12" ht="31.5" hidden="1" x14ac:dyDescent="0.25">
      <c r="B12" s="38"/>
      <c r="C12" s="44">
        <v>632</v>
      </c>
      <c r="D12" s="45" t="s">
        <v>236</v>
      </c>
      <c r="E12" s="46">
        <f t="shared" ref="E12:J12" si="2">SUM(E13)</f>
        <v>0</v>
      </c>
      <c r="F12" s="46">
        <f t="shared" si="2"/>
        <v>0</v>
      </c>
      <c r="G12" s="46"/>
      <c r="H12" s="46">
        <f t="shared" si="2"/>
        <v>0</v>
      </c>
      <c r="I12" s="46">
        <f t="shared" si="2"/>
        <v>0</v>
      </c>
      <c r="J12" s="46">
        <f t="shared" si="2"/>
        <v>0</v>
      </c>
    </row>
    <row r="13" spans="2:12" hidden="1" x14ac:dyDescent="0.25">
      <c r="B13" s="38"/>
      <c r="C13" s="47">
        <v>6324</v>
      </c>
      <c r="D13" s="48" t="s">
        <v>237</v>
      </c>
      <c r="E13" s="49">
        <v>0</v>
      </c>
      <c r="F13" s="49">
        <v>0</v>
      </c>
      <c r="G13" s="49"/>
      <c r="H13" s="49">
        <v>0</v>
      </c>
      <c r="I13" s="49">
        <v>0</v>
      </c>
      <c r="J13" s="49">
        <v>0</v>
      </c>
    </row>
    <row r="14" spans="2:12" x14ac:dyDescent="0.25">
      <c r="B14" s="38"/>
      <c r="C14" s="44">
        <v>633</v>
      </c>
      <c r="D14" s="50" t="s">
        <v>238</v>
      </c>
      <c r="E14" s="46">
        <f>SUM(E15,E17)</f>
        <v>0</v>
      </c>
      <c r="F14" s="46">
        <f t="shared" ref="F14:J14" si="3">SUM(F15,F17)</f>
        <v>0</v>
      </c>
      <c r="G14" s="46">
        <f t="shared" si="3"/>
        <v>500</v>
      </c>
      <c r="H14" s="46">
        <f t="shared" si="3"/>
        <v>500</v>
      </c>
      <c r="I14" s="46">
        <f t="shared" si="3"/>
        <v>500</v>
      </c>
      <c r="J14" s="46">
        <f t="shared" si="3"/>
        <v>500</v>
      </c>
      <c r="K14" s="31" t="s">
        <v>239</v>
      </c>
    </row>
    <row r="15" spans="2:12" x14ac:dyDescent="0.25">
      <c r="B15" s="38"/>
      <c r="C15" s="38">
        <v>6331</v>
      </c>
      <c r="D15" s="51" t="s">
        <v>240</v>
      </c>
      <c r="E15" s="49">
        <f>E16</f>
        <v>0</v>
      </c>
      <c r="F15" s="49">
        <f t="shared" ref="F15:J15" si="4">F16</f>
        <v>0</v>
      </c>
      <c r="G15" s="49">
        <f t="shared" si="4"/>
        <v>500</v>
      </c>
      <c r="H15" s="49">
        <f t="shared" si="4"/>
        <v>500</v>
      </c>
      <c r="I15" s="49">
        <f t="shared" si="4"/>
        <v>500</v>
      </c>
      <c r="J15" s="49">
        <f t="shared" si="4"/>
        <v>500</v>
      </c>
      <c r="K15" s="42" t="s">
        <v>241</v>
      </c>
    </row>
    <row r="16" spans="2:12" x14ac:dyDescent="0.25">
      <c r="B16" s="54"/>
      <c r="C16" s="54">
        <v>63313</v>
      </c>
      <c r="D16" s="61" t="s">
        <v>574</v>
      </c>
      <c r="E16" s="49">
        <f>'Prihodi po ek klas i izvorima'!E71</f>
        <v>0</v>
      </c>
      <c r="F16" s="49">
        <f>'Prihodi po ek klas i izvorima'!F71</f>
        <v>0</v>
      </c>
      <c r="G16" s="49">
        <f>'Prihodi po ek klas i izvorima'!G71</f>
        <v>500</v>
      </c>
      <c r="H16" s="49">
        <f>'Prihodi po ek klas i izvorima'!H71</f>
        <v>500</v>
      </c>
      <c r="I16" s="49">
        <f>'Prihodi po ek klas i izvorima'!I71</f>
        <v>500</v>
      </c>
      <c r="J16" s="49">
        <f>'Prihodi po ek klas i izvorima'!J71</f>
        <v>500</v>
      </c>
    </row>
    <row r="17" spans="2:10" hidden="1" x14ac:dyDescent="0.25">
      <c r="B17" s="38"/>
      <c r="C17" s="38">
        <v>6332</v>
      </c>
      <c r="D17" s="51" t="s">
        <v>242</v>
      </c>
      <c r="E17" s="49">
        <v>0</v>
      </c>
      <c r="F17" s="49">
        <v>0</v>
      </c>
      <c r="G17" s="49"/>
      <c r="H17" s="49">
        <v>0</v>
      </c>
      <c r="I17" s="49">
        <v>0</v>
      </c>
      <c r="J17" s="49">
        <v>0</v>
      </c>
    </row>
    <row r="18" spans="2:10" s="53" customFormat="1" x14ac:dyDescent="0.25">
      <c r="B18" s="38"/>
      <c r="C18" s="38">
        <v>634</v>
      </c>
      <c r="D18" s="51" t="s">
        <v>24</v>
      </c>
      <c r="E18" s="52">
        <f t="shared" ref="E18:F18" si="5">SUM(E19)</f>
        <v>0</v>
      </c>
      <c r="F18" s="52">
        <f t="shared" si="5"/>
        <v>0</v>
      </c>
      <c r="G18" s="52">
        <f>SUM(G19)</f>
        <v>68314.61</v>
      </c>
      <c r="H18" s="52">
        <f>SUM(H19)</f>
        <v>68314.61</v>
      </c>
      <c r="I18" s="52">
        <f t="shared" ref="I18:J18" si="6">SUM(I19)</f>
        <v>68314.61</v>
      </c>
      <c r="J18" s="52">
        <f t="shared" si="6"/>
        <v>68314.61</v>
      </c>
    </row>
    <row r="19" spans="2:10" s="53" customFormat="1" x14ac:dyDescent="0.25">
      <c r="B19" s="38"/>
      <c r="C19" s="38">
        <v>6341</v>
      </c>
      <c r="D19" s="51" t="s">
        <v>243</v>
      </c>
      <c r="E19" s="52">
        <f t="shared" ref="E19:F19" si="7">E20</f>
        <v>0</v>
      </c>
      <c r="F19" s="52">
        <f t="shared" si="7"/>
        <v>0</v>
      </c>
      <c r="G19" s="52">
        <f>G20</f>
        <v>68314.61</v>
      </c>
      <c r="H19" s="52">
        <f>H20</f>
        <v>68314.61</v>
      </c>
      <c r="I19" s="52">
        <f t="shared" ref="I19:J19" si="8">I20</f>
        <v>68314.61</v>
      </c>
      <c r="J19" s="52">
        <f t="shared" si="8"/>
        <v>68314.61</v>
      </c>
    </row>
    <row r="20" spans="2:10" ht="15.75" customHeight="1" x14ac:dyDescent="0.25">
      <c r="B20" s="38"/>
      <c r="C20" s="54">
        <v>63414</v>
      </c>
      <c r="D20" s="55" t="s">
        <v>243</v>
      </c>
      <c r="E20" s="49">
        <f>'Prihodi po ek klas i izvorima'!E75</f>
        <v>0</v>
      </c>
      <c r="F20" s="49">
        <f>'Prihodi po ek klas i izvorima'!F75</f>
        <v>0</v>
      </c>
      <c r="G20" s="49">
        <f>'Prihodi po ek klas i izvorima'!G75</f>
        <v>68314.61</v>
      </c>
      <c r="H20" s="49">
        <f>'Prihodi po ek klas i izvorima'!H75</f>
        <v>68314.61</v>
      </c>
      <c r="I20" s="49">
        <f>'Prihodi po ek klas i izvorima'!I75</f>
        <v>68314.61</v>
      </c>
      <c r="J20" s="49">
        <f>'Prihodi po ek klas i izvorima'!J75</f>
        <v>68314.61</v>
      </c>
    </row>
    <row r="21" spans="2:10" ht="31.5" x14ac:dyDescent="0.25">
      <c r="B21" s="38"/>
      <c r="C21" s="38">
        <v>636</v>
      </c>
      <c r="D21" s="56" t="s">
        <v>244</v>
      </c>
      <c r="E21" s="52">
        <f>SUM(E22,E24)</f>
        <v>0</v>
      </c>
      <c r="F21" s="52">
        <f t="shared" ref="F21:J21" si="9">SUM(F22,F24)</f>
        <v>0</v>
      </c>
      <c r="G21" s="52">
        <f t="shared" ref="G21" si="10">SUM(G22,G24)</f>
        <v>14000</v>
      </c>
      <c r="H21" s="52">
        <f t="shared" si="9"/>
        <v>14000</v>
      </c>
      <c r="I21" s="52">
        <f t="shared" si="9"/>
        <v>0</v>
      </c>
      <c r="J21" s="52">
        <f t="shared" si="9"/>
        <v>0</v>
      </c>
    </row>
    <row r="22" spans="2:10" ht="31.5" x14ac:dyDescent="0.25">
      <c r="B22" s="38"/>
      <c r="C22" s="38">
        <v>6361</v>
      </c>
      <c r="D22" s="56" t="s">
        <v>245</v>
      </c>
      <c r="E22" s="52">
        <f t="shared" ref="E22:J22" si="11">E23</f>
        <v>0</v>
      </c>
      <c r="F22" s="52">
        <f t="shared" si="11"/>
        <v>0</v>
      </c>
      <c r="G22" s="52">
        <f t="shared" si="11"/>
        <v>14000</v>
      </c>
      <c r="H22" s="52">
        <f t="shared" si="11"/>
        <v>14000</v>
      </c>
      <c r="I22" s="52">
        <f t="shared" si="11"/>
        <v>0</v>
      </c>
      <c r="J22" s="52">
        <f t="shared" si="11"/>
        <v>0</v>
      </c>
    </row>
    <row r="23" spans="2:10" ht="31.5" x14ac:dyDescent="0.25">
      <c r="B23" s="38"/>
      <c r="C23" s="54">
        <v>63612</v>
      </c>
      <c r="D23" s="57" t="s">
        <v>245</v>
      </c>
      <c r="E23" s="49">
        <f>'Prihodi po ek klas i izvorima'!E78</f>
        <v>0</v>
      </c>
      <c r="F23" s="49">
        <f>'Prihodi po ek klas i izvorima'!F78</f>
        <v>0</v>
      </c>
      <c r="G23" s="49">
        <f>'Prihodi po ek klas i izvorima'!G78</f>
        <v>14000</v>
      </c>
      <c r="H23" s="49">
        <f>'Prihodi po ek klas i izvorima'!H78</f>
        <v>14000</v>
      </c>
      <c r="I23" s="49">
        <f>'Prihodi po ek klas i izvorima'!I78</f>
        <v>0</v>
      </c>
      <c r="J23" s="49">
        <f>'Prihodi po ek klas i izvorima'!J78</f>
        <v>0</v>
      </c>
    </row>
    <row r="24" spans="2:10" ht="31.5" hidden="1" x14ac:dyDescent="0.25">
      <c r="B24" s="38"/>
      <c r="C24" s="38">
        <v>6362</v>
      </c>
      <c r="D24" s="56" t="s">
        <v>578</v>
      </c>
      <c r="E24" s="52">
        <f>E25</f>
        <v>0</v>
      </c>
      <c r="F24" s="52">
        <f t="shared" ref="F24:J24" si="12">F25</f>
        <v>0</v>
      </c>
      <c r="G24" s="52"/>
      <c r="H24" s="52">
        <f t="shared" si="12"/>
        <v>0</v>
      </c>
      <c r="I24" s="52">
        <f t="shared" si="12"/>
        <v>0</v>
      </c>
      <c r="J24" s="52">
        <f t="shared" si="12"/>
        <v>0</v>
      </c>
    </row>
    <row r="25" spans="2:10" ht="31.5" hidden="1" x14ac:dyDescent="0.25">
      <c r="B25" s="38"/>
      <c r="C25" s="54">
        <v>63622</v>
      </c>
      <c r="D25" s="57" t="s">
        <v>578</v>
      </c>
      <c r="E25" s="49">
        <f>'Prihodi po ek klas i izvorima'!E80</f>
        <v>0</v>
      </c>
      <c r="F25" s="49">
        <f>'Prihodi po ek klas i izvorima'!F80</f>
        <v>0</v>
      </c>
      <c r="G25" s="49"/>
      <c r="H25" s="49">
        <f>'Prihodi po ek klas i izvorima'!H80</f>
        <v>0</v>
      </c>
      <c r="I25" s="49">
        <f>'Prihodi po ek klas i izvorima'!I80</f>
        <v>0</v>
      </c>
      <c r="J25" s="49">
        <f>'Prihodi po ek klas i izvorima'!J80</f>
        <v>0</v>
      </c>
    </row>
    <row r="26" spans="2:10" s="53" customFormat="1" x14ac:dyDescent="0.25">
      <c r="B26" s="38"/>
      <c r="C26" s="38">
        <v>638</v>
      </c>
      <c r="D26" s="56" t="s">
        <v>246</v>
      </c>
      <c r="E26" s="52" t="e">
        <f t="shared" ref="E26:J26" si="13">E27+E29</f>
        <v>#REF!</v>
      </c>
      <c r="F26" s="52" t="e">
        <f t="shared" si="13"/>
        <v>#REF!</v>
      </c>
      <c r="G26" s="52">
        <f t="shared" si="13"/>
        <v>593609.22</v>
      </c>
      <c r="H26" s="52">
        <f t="shared" si="13"/>
        <v>593609.22</v>
      </c>
      <c r="I26" s="52">
        <f t="shared" si="13"/>
        <v>479109.88</v>
      </c>
      <c r="J26" s="52">
        <f t="shared" si="13"/>
        <v>425433.88</v>
      </c>
    </row>
    <row r="27" spans="2:10" s="53" customFormat="1" ht="15.75" customHeight="1" x14ac:dyDescent="0.25">
      <c r="B27" s="38"/>
      <c r="C27" s="38">
        <v>6381</v>
      </c>
      <c r="D27" s="56" t="s">
        <v>34</v>
      </c>
      <c r="E27" s="52">
        <f t="shared" ref="E27:J27" si="14">SUM(E28:E28)</f>
        <v>0</v>
      </c>
      <c r="F27" s="52">
        <f t="shared" si="14"/>
        <v>0</v>
      </c>
      <c r="G27" s="52">
        <f t="shared" si="14"/>
        <v>437409.22</v>
      </c>
      <c r="H27" s="52">
        <f t="shared" si="14"/>
        <v>437409.22</v>
      </c>
      <c r="I27" s="52">
        <f t="shared" si="14"/>
        <v>319785.88</v>
      </c>
      <c r="J27" s="52">
        <f t="shared" si="14"/>
        <v>262923.40000000002</v>
      </c>
    </row>
    <row r="28" spans="2:10" s="53" customFormat="1" ht="15.75" customHeight="1" x14ac:dyDescent="0.25">
      <c r="B28" s="54"/>
      <c r="C28" s="54">
        <v>63811</v>
      </c>
      <c r="D28" s="57" t="s">
        <v>646</v>
      </c>
      <c r="E28" s="49">
        <f>'Prihodi po ek klas i izvorima'!E94</f>
        <v>0</v>
      </c>
      <c r="F28" s="49">
        <f>'Prihodi po ek klas i izvorima'!F94</f>
        <v>0</v>
      </c>
      <c r="G28" s="49">
        <f>'Prihodi po ek klas i izvorima'!G94</f>
        <v>437409.22</v>
      </c>
      <c r="H28" s="49">
        <f>'Prihodi po ek klas i izvorima'!H94</f>
        <v>437409.22</v>
      </c>
      <c r="I28" s="49">
        <f>'Prihodi po ek klas i izvorima'!I94</f>
        <v>319785.88</v>
      </c>
      <c r="J28" s="49">
        <f>'Prihodi po ek klas i izvorima'!J94</f>
        <v>262923.40000000002</v>
      </c>
    </row>
    <row r="29" spans="2:10" s="53" customFormat="1" x14ac:dyDescent="0.25">
      <c r="B29" s="38"/>
      <c r="C29" s="38">
        <v>6382</v>
      </c>
      <c r="D29" s="56" t="s">
        <v>716</v>
      </c>
      <c r="E29" s="52" t="e">
        <f>E30+#REF!</f>
        <v>#REF!</v>
      </c>
      <c r="F29" s="52" t="e">
        <f>F30+#REF!</f>
        <v>#REF!</v>
      </c>
      <c r="G29" s="52">
        <f>G30</f>
        <v>156200</v>
      </c>
      <c r="H29" s="52">
        <f>H30</f>
        <v>156200</v>
      </c>
      <c r="I29" s="52">
        <f t="shared" ref="I29:J29" si="15">I30</f>
        <v>159324</v>
      </c>
      <c r="J29" s="52">
        <f t="shared" si="15"/>
        <v>162510.48000000001</v>
      </c>
    </row>
    <row r="30" spans="2:10" s="53" customFormat="1" x14ac:dyDescent="0.25">
      <c r="B30" s="38"/>
      <c r="C30" s="54">
        <v>63821</v>
      </c>
      <c r="D30" s="57" t="s">
        <v>652</v>
      </c>
      <c r="E30" s="49" t="e">
        <f>'Prihodi po ek klas i izvorima'!#REF!</f>
        <v>#REF!</v>
      </c>
      <c r="F30" s="49" t="e">
        <f>'Prihodi po ek klas i izvorima'!#REF!</f>
        <v>#REF!</v>
      </c>
      <c r="G30" s="49">
        <f>'Prihodi po ek klas i izvorima'!G88</f>
        <v>156200</v>
      </c>
      <c r="H30" s="49">
        <f>'Prihodi po ek klas i izvorima'!H88</f>
        <v>156200</v>
      </c>
      <c r="I30" s="49">
        <f>'Prihodi po ek klas i izvorima'!I88</f>
        <v>159324</v>
      </c>
      <c r="J30" s="49">
        <f>'Prihodi po ek klas i izvorima'!J88</f>
        <v>162510.48000000001</v>
      </c>
    </row>
    <row r="31" spans="2:10" x14ac:dyDescent="0.25">
      <c r="B31" s="38"/>
      <c r="C31" s="38">
        <v>639</v>
      </c>
      <c r="D31" s="56" t="s">
        <v>248</v>
      </c>
      <c r="E31" s="52">
        <f t="shared" ref="E31:F31" si="16">SUM(E32)</f>
        <v>0</v>
      </c>
      <c r="F31" s="52">
        <f t="shared" si="16"/>
        <v>0</v>
      </c>
      <c r="G31" s="52">
        <f>SUM(G32)</f>
        <v>500000</v>
      </c>
      <c r="H31" s="52">
        <f>SUM(H32)</f>
        <v>500000</v>
      </c>
      <c r="I31" s="52">
        <f>SUM(I32)</f>
        <v>500000</v>
      </c>
      <c r="J31" s="52">
        <f>SUM(J32)</f>
        <v>500000</v>
      </c>
    </row>
    <row r="32" spans="2:10" s="53" customFormat="1" ht="15.75" customHeight="1" x14ac:dyDescent="0.25">
      <c r="B32" s="38"/>
      <c r="C32" s="38">
        <v>6391</v>
      </c>
      <c r="D32" s="56" t="s">
        <v>249</v>
      </c>
      <c r="E32" s="52">
        <f>E33</f>
        <v>0</v>
      </c>
      <c r="F32" s="52">
        <f t="shared" ref="F32:J32" si="17">F33</f>
        <v>0</v>
      </c>
      <c r="G32" s="52">
        <f t="shared" si="17"/>
        <v>500000</v>
      </c>
      <c r="H32" s="52">
        <f t="shared" si="17"/>
        <v>500000</v>
      </c>
      <c r="I32" s="52">
        <f t="shared" si="17"/>
        <v>500000</v>
      </c>
      <c r="J32" s="52">
        <f t="shared" si="17"/>
        <v>500000</v>
      </c>
    </row>
    <row r="33" spans="2:10" s="53" customFormat="1" ht="15.75" customHeight="1" x14ac:dyDescent="0.25">
      <c r="B33" s="38"/>
      <c r="C33" s="54">
        <v>63911</v>
      </c>
      <c r="D33" s="57" t="s">
        <v>40</v>
      </c>
      <c r="E33" s="49">
        <f>'Prihodi po ek klas i izvorima'!E83</f>
        <v>0</v>
      </c>
      <c r="F33" s="49">
        <f>'Prihodi po ek klas i izvorima'!F83</f>
        <v>0</v>
      </c>
      <c r="G33" s="49">
        <f>'Prihodi po ek klas i izvorima'!G83</f>
        <v>500000</v>
      </c>
      <c r="H33" s="49">
        <f>'Prihodi po ek klas i izvorima'!H83</f>
        <v>500000</v>
      </c>
      <c r="I33" s="49">
        <f>'Prihodi po ek klas i izvorima'!I83</f>
        <v>500000</v>
      </c>
      <c r="J33" s="49">
        <f>'Prihodi po ek klas i izvorima'!J83</f>
        <v>500000</v>
      </c>
    </row>
    <row r="34" spans="2:10" x14ac:dyDescent="0.25">
      <c r="B34" s="38"/>
      <c r="C34" s="58">
        <v>64</v>
      </c>
      <c r="D34" s="59" t="s">
        <v>42</v>
      </c>
      <c r="E34" s="60">
        <f>E35+E42</f>
        <v>0</v>
      </c>
      <c r="F34" s="60">
        <f t="shared" ref="F34:J34" si="18">F35+F42</f>
        <v>0</v>
      </c>
      <c r="G34" s="60">
        <f t="shared" ref="G34" si="19">G35+G42</f>
        <v>101000</v>
      </c>
      <c r="H34" s="60">
        <f t="shared" si="18"/>
        <v>101000</v>
      </c>
      <c r="I34" s="60">
        <f t="shared" si="18"/>
        <v>103404</v>
      </c>
      <c r="J34" s="60">
        <f t="shared" si="18"/>
        <v>105448.08</v>
      </c>
    </row>
    <row r="35" spans="2:10" x14ac:dyDescent="0.25">
      <c r="B35" s="38"/>
      <c r="C35" s="38">
        <v>641</v>
      </c>
      <c r="D35" s="51" t="s">
        <v>43</v>
      </c>
      <c r="E35" s="52">
        <f>E36+E38+E40</f>
        <v>0</v>
      </c>
      <c r="F35" s="52">
        <f t="shared" ref="F35:J35" si="20">F36+F38+F40</f>
        <v>0</v>
      </c>
      <c r="G35" s="52">
        <f t="shared" ref="G35" si="21">G36+G38+G40</f>
        <v>100600</v>
      </c>
      <c r="H35" s="52">
        <f t="shared" si="20"/>
        <v>100600</v>
      </c>
      <c r="I35" s="52">
        <f t="shared" si="20"/>
        <v>102804</v>
      </c>
      <c r="J35" s="52">
        <f t="shared" si="20"/>
        <v>104848.08</v>
      </c>
    </row>
    <row r="36" spans="2:10" x14ac:dyDescent="0.25">
      <c r="B36" s="38"/>
      <c r="C36" s="38">
        <v>6413</v>
      </c>
      <c r="D36" s="51" t="s">
        <v>250</v>
      </c>
      <c r="E36" s="52">
        <f t="shared" ref="E36:F36" si="22">SUM(E37)</f>
        <v>0</v>
      </c>
      <c r="F36" s="52">
        <f t="shared" si="22"/>
        <v>0</v>
      </c>
      <c r="G36" s="52">
        <f>SUM(G37)</f>
        <v>550</v>
      </c>
      <c r="H36" s="52">
        <f>SUM(H37)</f>
        <v>550</v>
      </c>
      <c r="I36" s="52">
        <f t="shared" ref="I36:J36" si="23">SUM(I37)</f>
        <v>754</v>
      </c>
      <c r="J36" s="52">
        <f t="shared" si="23"/>
        <v>758.08</v>
      </c>
    </row>
    <row r="37" spans="2:10" x14ac:dyDescent="0.25">
      <c r="B37" s="38"/>
      <c r="C37" s="54">
        <v>64132</v>
      </c>
      <c r="D37" s="61" t="s">
        <v>250</v>
      </c>
      <c r="E37" s="49">
        <f>'Prihodi po ek klas i izvorima'!E20</f>
        <v>0</v>
      </c>
      <c r="F37" s="49">
        <f>'Prihodi po ek klas i izvorima'!F20</f>
        <v>0</v>
      </c>
      <c r="G37" s="49">
        <f>'Prihodi po ek klas i izvorima'!G20</f>
        <v>550</v>
      </c>
      <c r="H37" s="49">
        <f>'Prihodi po ek klas i izvorima'!H20</f>
        <v>550</v>
      </c>
      <c r="I37" s="49">
        <f>'Prihodi po ek klas i izvorima'!I20</f>
        <v>754</v>
      </c>
      <c r="J37" s="49">
        <f>'Prihodi po ek klas i izvorima'!J20</f>
        <v>758.08</v>
      </c>
    </row>
    <row r="38" spans="2:10" s="42" customFormat="1" x14ac:dyDescent="0.25">
      <c r="B38" s="38"/>
      <c r="C38" s="38">
        <v>6414</v>
      </c>
      <c r="D38" s="51" t="s">
        <v>570</v>
      </c>
      <c r="E38" s="52">
        <f>E39</f>
        <v>0</v>
      </c>
      <c r="F38" s="52">
        <f t="shared" ref="F38:J38" si="24">F39</f>
        <v>0</v>
      </c>
      <c r="G38" s="52">
        <f t="shared" si="24"/>
        <v>50</v>
      </c>
      <c r="H38" s="52">
        <f t="shared" si="24"/>
        <v>50</v>
      </c>
      <c r="I38" s="52">
        <f t="shared" si="24"/>
        <v>50</v>
      </c>
      <c r="J38" s="52">
        <f t="shared" si="24"/>
        <v>50</v>
      </c>
    </row>
    <row r="39" spans="2:10" x14ac:dyDescent="0.25">
      <c r="B39" s="38"/>
      <c r="C39" s="54">
        <v>64143</v>
      </c>
      <c r="D39" s="61" t="s">
        <v>570</v>
      </c>
      <c r="E39" s="49">
        <f>'Prihodi po ek klas i izvorima'!E22</f>
        <v>0</v>
      </c>
      <c r="F39" s="49">
        <f>'Prihodi po ek klas i izvorima'!F22</f>
        <v>0</v>
      </c>
      <c r="G39" s="49">
        <f>'Prihodi po ek klas i izvorima'!G22</f>
        <v>50</v>
      </c>
      <c r="H39" s="49">
        <f>'Prihodi po ek klas i izvorima'!H22</f>
        <v>50</v>
      </c>
      <c r="I39" s="49">
        <f>'Prihodi po ek klas i izvorima'!I22</f>
        <v>50</v>
      </c>
      <c r="J39" s="49">
        <f>'Prihodi po ek klas i izvorima'!J22</f>
        <v>50</v>
      </c>
    </row>
    <row r="40" spans="2:10" x14ac:dyDescent="0.25">
      <c r="B40" s="38"/>
      <c r="C40" s="38">
        <v>6419</v>
      </c>
      <c r="D40" s="51" t="s">
        <v>44</v>
      </c>
      <c r="E40" s="52">
        <f>E41</f>
        <v>0</v>
      </c>
      <c r="F40" s="52">
        <f t="shared" ref="F40:J40" si="25">F41</f>
        <v>0</v>
      </c>
      <c r="G40" s="52">
        <f t="shared" si="25"/>
        <v>100000</v>
      </c>
      <c r="H40" s="52">
        <f t="shared" si="25"/>
        <v>100000</v>
      </c>
      <c r="I40" s="52">
        <f t="shared" si="25"/>
        <v>102000</v>
      </c>
      <c r="J40" s="52">
        <f t="shared" si="25"/>
        <v>104040</v>
      </c>
    </row>
    <row r="41" spans="2:10" x14ac:dyDescent="0.25">
      <c r="B41" s="54"/>
      <c r="C41" s="54">
        <v>64199</v>
      </c>
      <c r="D41" s="61" t="s">
        <v>44</v>
      </c>
      <c r="E41" s="49">
        <f>'Prihodi po ek klas i izvorima'!E24+'Prihodi po ek klas i izvorima'!E48</f>
        <v>0</v>
      </c>
      <c r="F41" s="49">
        <f>'Prihodi po ek klas i izvorima'!F24+'Prihodi po ek klas i izvorima'!F48</f>
        <v>0</v>
      </c>
      <c r="G41" s="49">
        <f>'Prihodi po ek klas i izvorima'!G24+'Prihodi po ek klas i izvorima'!G48</f>
        <v>100000</v>
      </c>
      <c r="H41" s="49">
        <f>'Prihodi po ek klas i izvorima'!H24+'Prihodi po ek klas i izvorima'!H48</f>
        <v>100000</v>
      </c>
      <c r="I41" s="49">
        <f>'Prihodi po ek klas i izvorima'!I24+'Prihodi po ek klas i izvorima'!I48</f>
        <v>102000</v>
      </c>
      <c r="J41" s="49">
        <f>'Prihodi po ek klas i izvorima'!J24+'Prihodi po ek klas i izvorima'!J48</f>
        <v>104040</v>
      </c>
    </row>
    <row r="42" spans="2:10" x14ac:dyDescent="0.25">
      <c r="B42" s="38"/>
      <c r="C42" s="38">
        <v>642</v>
      </c>
      <c r="D42" s="51" t="s">
        <v>653</v>
      </c>
      <c r="E42" s="52">
        <f>E43</f>
        <v>0</v>
      </c>
      <c r="F42" s="52">
        <f t="shared" ref="F42:J42" si="26">F43</f>
        <v>0</v>
      </c>
      <c r="G42" s="52">
        <f t="shared" si="26"/>
        <v>400</v>
      </c>
      <c r="H42" s="52">
        <f t="shared" si="26"/>
        <v>400</v>
      </c>
      <c r="I42" s="52">
        <f t="shared" si="26"/>
        <v>600</v>
      </c>
      <c r="J42" s="52">
        <f t="shared" si="26"/>
        <v>600</v>
      </c>
    </row>
    <row r="43" spans="2:10" x14ac:dyDescent="0.25">
      <c r="B43" s="38"/>
      <c r="C43" s="38">
        <v>6429</v>
      </c>
      <c r="D43" s="51" t="s">
        <v>58</v>
      </c>
      <c r="E43" s="52">
        <f>E44</f>
        <v>0</v>
      </c>
      <c r="F43" s="52">
        <f t="shared" ref="F43:J43" si="27">F44</f>
        <v>0</v>
      </c>
      <c r="G43" s="52">
        <f t="shared" si="27"/>
        <v>400</v>
      </c>
      <c r="H43" s="52">
        <f t="shared" si="27"/>
        <v>400</v>
      </c>
      <c r="I43" s="52">
        <f t="shared" si="27"/>
        <v>600</v>
      </c>
      <c r="J43" s="52">
        <f t="shared" si="27"/>
        <v>600</v>
      </c>
    </row>
    <row r="44" spans="2:10" x14ac:dyDescent="0.25">
      <c r="B44" s="54"/>
      <c r="C44" s="54">
        <v>64299</v>
      </c>
      <c r="D44" s="61" t="s">
        <v>58</v>
      </c>
      <c r="E44" s="49">
        <f>'Prihodi po ek klas i izvorima'!E27</f>
        <v>0</v>
      </c>
      <c r="F44" s="49">
        <f>'Prihodi po ek klas i izvorima'!F27</f>
        <v>0</v>
      </c>
      <c r="G44" s="49">
        <f>'Prihodi po ek klas i izvorima'!G27</f>
        <v>400</v>
      </c>
      <c r="H44" s="49">
        <f>'Prihodi po ek klas i izvorima'!H27</f>
        <v>400</v>
      </c>
      <c r="I44" s="49">
        <f>'Prihodi po ek klas i izvorima'!I27</f>
        <v>600</v>
      </c>
      <c r="J44" s="49">
        <f>'Prihodi po ek klas i izvorima'!J27</f>
        <v>600</v>
      </c>
    </row>
    <row r="45" spans="2:10" x14ac:dyDescent="0.25">
      <c r="B45" s="38"/>
      <c r="C45" s="58">
        <v>65</v>
      </c>
      <c r="D45" s="59" t="s">
        <v>46</v>
      </c>
      <c r="E45" s="60">
        <f t="shared" ref="E45:F45" si="28">E46</f>
        <v>0</v>
      </c>
      <c r="F45" s="60">
        <f t="shared" si="28"/>
        <v>0</v>
      </c>
      <c r="G45" s="60">
        <f>G46</f>
        <v>942800</v>
      </c>
      <c r="H45" s="60">
        <f>H46</f>
        <v>942800</v>
      </c>
      <c r="I45" s="60">
        <f>I46</f>
        <v>971670</v>
      </c>
      <c r="J45" s="60">
        <f>J46</f>
        <v>982623.4</v>
      </c>
    </row>
    <row r="46" spans="2:10" x14ac:dyDescent="0.25">
      <c r="B46" s="38"/>
      <c r="C46" s="38">
        <v>652</v>
      </c>
      <c r="D46" s="51" t="s">
        <v>46</v>
      </c>
      <c r="E46" s="52">
        <f t="shared" ref="E46:F46" si="29">SUM(E47)</f>
        <v>0</v>
      </c>
      <c r="F46" s="52">
        <f t="shared" si="29"/>
        <v>0</v>
      </c>
      <c r="G46" s="52">
        <f>SUM(G47)</f>
        <v>942800</v>
      </c>
      <c r="H46" s="52">
        <f>SUM(H47)</f>
        <v>942800</v>
      </c>
      <c r="I46" s="52">
        <f t="shared" ref="I46:J46" si="30">SUM(I47)</f>
        <v>971670</v>
      </c>
      <c r="J46" s="52">
        <f t="shared" si="30"/>
        <v>982623.4</v>
      </c>
    </row>
    <row r="47" spans="2:10" x14ac:dyDescent="0.25">
      <c r="B47" s="38"/>
      <c r="C47" s="38">
        <v>6526</v>
      </c>
      <c r="D47" s="51" t="s">
        <v>47</v>
      </c>
      <c r="E47" s="52">
        <f t="shared" ref="E47:F47" si="31">SUM(E48:E50)</f>
        <v>0</v>
      </c>
      <c r="F47" s="52">
        <f t="shared" si="31"/>
        <v>0</v>
      </c>
      <c r="G47" s="52">
        <f>SUM(G48:G50)</f>
        <v>942800</v>
      </c>
      <c r="H47" s="52">
        <f>SUM(H48:H50)</f>
        <v>942800</v>
      </c>
      <c r="I47" s="52">
        <f t="shared" ref="I47:J47" si="32">SUM(I48:I50)</f>
        <v>971670</v>
      </c>
      <c r="J47" s="52">
        <f t="shared" si="32"/>
        <v>982623.4</v>
      </c>
    </row>
    <row r="48" spans="2:10" x14ac:dyDescent="0.25">
      <c r="B48" s="38"/>
      <c r="C48" s="54">
        <v>65264</v>
      </c>
      <c r="D48" s="61" t="s">
        <v>468</v>
      </c>
      <c r="E48" s="49">
        <f>'Prihodi po ek klas i izvorima'!E52</f>
        <v>0</v>
      </c>
      <c r="F48" s="49">
        <f>'Prihodi po ek klas i izvorima'!F52</f>
        <v>0</v>
      </c>
      <c r="G48" s="49">
        <f>'Prihodi po ek klas i izvorima'!G52</f>
        <v>902800</v>
      </c>
      <c r="H48" s="49">
        <f>'Prihodi po ek klas i izvorima'!H52</f>
        <v>902800</v>
      </c>
      <c r="I48" s="49">
        <f>'Prihodi po ek klas i izvorima'!I52</f>
        <v>929020</v>
      </c>
      <c r="J48" s="49">
        <f>'Prihodi po ek klas i izvorima'!J52</f>
        <v>938190.4</v>
      </c>
    </row>
    <row r="49" spans="2:10" x14ac:dyDescent="0.25">
      <c r="B49" s="38"/>
      <c r="C49" s="54">
        <v>65267</v>
      </c>
      <c r="D49" s="61" t="s">
        <v>469</v>
      </c>
      <c r="E49" s="49">
        <f>'Prihodi po ek klas i izvorima'!E110</f>
        <v>0</v>
      </c>
      <c r="F49" s="49">
        <f>'Prihodi po ek klas i izvorima'!F110</f>
        <v>0</v>
      </c>
      <c r="G49" s="49">
        <f>'Prihodi po ek klas i izvorima'!G53+'Prihodi po ek klas i izvorima'!G110</f>
        <v>11500</v>
      </c>
      <c r="H49" s="49">
        <f>'Prihodi po ek klas i izvorima'!H53+'Prihodi po ek klas i izvorima'!H110</f>
        <v>11500</v>
      </c>
      <c r="I49" s="49">
        <f>'Prihodi po ek klas i izvorima'!I53+'Prihodi po ek klas i izvorima'!I110</f>
        <v>11775</v>
      </c>
      <c r="J49" s="49">
        <f>'Prihodi po ek klas i izvorima'!J53+'Prihodi po ek klas i izvorima'!J110</f>
        <v>12064</v>
      </c>
    </row>
    <row r="50" spans="2:10" x14ac:dyDescent="0.25">
      <c r="B50" s="38"/>
      <c r="C50" s="54">
        <v>65269</v>
      </c>
      <c r="D50" s="61" t="s">
        <v>470</v>
      </c>
      <c r="E50" s="49">
        <f>'Prihodi po ek klas i izvorima'!E54</f>
        <v>0</v>
      </c>
      <c r="F50" s="49">
        <f>'Prihodi po ek klas i izvorima'!F54</f>
        <v>0</v>
      </c>
      <c r="G50" s="49">
        <f>'Prihodi po ek klas i izvorima'!G54</f>
        <v>28500</v>
      </c>
      <c r="H50" s="49">
        <f>'Prihodi po ek klas i izvorima'!H54</f>
        <v>28500</v>
      </c>
      <c r="I50" s="49">
        <f>'Prihodi po ek klas i izvorima'!I54</f>
        <v>30875</v>
      </c>
      <c r="J50" s="49">
        <f>'Prihodi po ek klas i izvorima'!J54</f>
        <v>32369</v>
      </c>
    </row>
    <row r="51" spans="2:10" x14ac:dyDescent="0.25">
      <c r="B51" s="38"/>
      <c r="C51" s="58">
        <v>66</v>
      </c>
      <c r="D51" s="59" t="s">
        <v>252</v>
      </c>
      <c r="E51" s="60">
        <f>E52+E60</f>
        <v>0</v>
      </c>
      <c r="F51" s="60">
        <f t="shared" ref="F51:J51" si="33">F52+F60</f>
        <v>0</v>
      </c>
      <c r="G51" s="60">
        <f t="shared" ref="G51" si="34">G52+G60</f>
        <v>3645116.33</v>
      </c>
      <c r="H51" s="60">
        <f t="shared" si="33"/>
        <v>3645116.33</v>
      </c>
      <c r="I51" s="60">
        <f t="shared" si="33"/>
        <v>3685936.33</v>
      </c>
      <c r="J51" s="60">
        <f t="shared" si="33"/>
        <v>3717368.73</v>
      </c>
    </row>
    <row r="52" spans="2:10" ht="15.75" customHeight="1" x14ac:dyDescent="0.25">
      <c r="B52" s="38"/>
      <c r="C52" s="38">
        <v>661</v>
      </c>
      <c r="D52" s="56" t="s">
        <v>253</v>
      </c>
      <c r="E52" s="52">
        <f>SUM(E53,E56)</f>
        <v>0</v>
      </c>
      <c r="F52" s="52">
        <f t="shared" ref="F52:J52" si="35">SUM(F53,F56)</f>
        <v>0</v>
      </c>
      <c r="G52" s="52">
        <f t="shared" ref="G52" si="36">SUM(G53,G56)</f>
        <v>3643116.33</v>
      </c>
      <c r="H52" s="52">
        <f t="shared" si="35"/>
        <v>3643116.33</v>
      </c>
      <c r="I52" s="52">
        <f t="shared" si="35"/>
        <v>3683716.33</v>
      </c>
      <c r="J52" s="52">
        <f t="shared" si="35"/>
        <v>3714928.33</v>
      </c>
    </row>
    <row r="53" spans="2:10" x14ac:dyDescent="0.25">
      <c r="B53" s="54"/>
      <c r="C53" s="38">
        <v>6614</v>
      </c>
      <c r="D53" s="56" t="s">
        <v>254</v>
      </c>
      <c r="E53" s="52">
        <f>E54+E55</f>
        <v>0</v>
      </c>
      <c r="F53" s="52">
        <f t="shared" ref="F53:J53" si="37">F54+F55</f>
        <v>0</v>
      </c>
      <c r="G53" s="52">
        <f t="shared" ref="G53" si="38">G54+G55</f>
        <v>2625000</v>
      </c>
      <c r="H53" s="52">
        <f t="shared" si="37"/>
        <v>2625000</v>
      </c>
      <c r="I53" s="52">
        <f t="shared" si="37"/>
        <v>2656000</v>
      </c>
      <c r="J53" s="52">
        <f t="shared" si="37"/>
        <v>2677000</v>
      </c>
    </row>
    <row r="54" spans="2:10" x14ac:dyDescent="0.25">
      <c r="B54" s="54"/>
      <c r="C54" s="54">
        <v>66141</v>
      </c>
      <c r="D54" s="57" t="s">
        <v>717</v>
      </c>
      <c r="E54" s="49">
        <f>'Prihodi po ek klas i izvorima'!E31</f>
        <v>0</v>
      </c>
      <c r="F54" s="49">
        <f>'Prihodi po ek klas i izvorima'!F31</f>
        <v>0</v>
      </c>
      <c r="G54" s="49">
        <f>'Prihodi po ek klas i izvorima'!G31</f>
        <v>25000</v>
      </c>
      <c r="H54" s="49">
        <f>'Prihodi po ek klas i izvorima'!H31</f>
        <v>25000</v>
      </c>
      <c r="I54" s="49">
        <f>'Prihodi po ek klas i izvorima'!I31</f>
        <v>26000</v>
      </c>
      <c r="J54" s="49">
        <f>'Prihodi po ek klas i izvorima'!J31</f>
        <v>27000</v>
      </c>
    </row>
    <row r="55" spans="2:10" x14ac:dyDescent="0.25">
      <c r="B55" s="54"/>
      <c r="C55" s="54">
        <v>66142</v>
      </c>
      <c r="D55" s="57" t="s">
        <v>649</v>
      </c>
      <c r="E55" s="49">
        <f>'Prihodi po ek klas i izvorima'!E32</f>
        <v>0</v>
      </c>
      <c r="F55" s="49">
        <f>'Prihodi po ek klas i izvorima'!F32</f>
        <v>0</v>
      </c>
      <c r="G55" s="49">
        <f>'Prihodi po ek klas i izvorima'!G32</f>
        <v>2600000</v>
      </c>
      <c r="H55" s="49">
        <f>'Prihodi po ek klas i izvorima'!H32</f>
        <v>2600000</v>
      </c>
      <c r="I55" s="49">
        <f>'Prihodi po ek klas i izvorima'!I32</f>
        <v>2630000</v>
      </c>
      <c r="J55" s="49">
        <f>'Prihodi po ek klas i izvorima'!J32</f>
        <v>2650000</v>
      </c>
    </row>
    <row r="56" spans="2:10" x14ac:dyDescent="0.25">
      <c r="B56" s="54"/>
      <c r="C56" s="38">
        <v>6615</v>
      </c>
      <c r="D56" s="56" t="s">
        <v>65</v>
      </c>
      <c r="E56" s="52">
        <f>SUM(E57:E59)</f>
        <v>0</v>
      </c>
      <c r="F56" s="52">
        <f t="shared" ref="F56:J56" si="39">SUM(F57:F59)</f>
        <v>0</v>
      </c>
      <c r="G56" s="52">
        <f t="shared" ref="G56" si="40">SUM(G57:G59)</f>
        <v>1018116.33</v>
      </c>
      <c r="H56" s="52">
        <f t="shared" si="39"/>
        <v>1018116.33</v>
      </c>
      <c r="I56" s="52">
        <f t="shared" si="39"/>
        <v>1027716.33</v>
      </c>
      <c r="J56" s="52">
        <f t="shared" si="39"/>
        <v>1037928.33</v>
      </c>
    </row>
    <row r="57" spans="2:10" x14ac:dyDescent="0.25">
      <c r="B57" s="38"/>
      <c r="C57" s="54">
        <v>66151</v>
      </c>
      <c r="D57" s="61" t="s">
        <v>65</v>
      </c>
      <c r="E57" s="49">
        <f>'Prihodi po ek klas i izvorima'!E34</f>
        <v>0</v>
      </c>
      <c r="F57" s="49">
        <f>'Prihodi po ek klas i izvorima'!F34</f>
        <v>0</v>
      </c>
      <c r="G57" s="49">
        <f>'Prihodi po ek klas i izvorima'!G34</f>
        <v>1013116.33</v>
      </c>
      <c r="H57" s="49">
        <f>'Prihodi po ek klas i izvorima'!H34</f>
        <v>1013116.33</v>
      </c>
      <c r="I57" s="49">
        <f>'Prihodi po ek klas i izvorima'!I34</f>
        <v>1022116.33</v>
      </c>
      <c r="J57" s="49">
        <f>'Prihodi po ek klas i izvorima'!J34</f>
        <v>1031116.33</v>
      </c>
    </row>
    <row r="58" spans="2:10" hidden="1" x14ac:dyDescent="0.25">
      <c r="B58" s="38"/>
      <c r="C58" s="54">
        <v>66153</v>
      </c>
      <c r="D58" s="61" t="s">
        <v>572</v>
      </c>
      <c r="E58" s="49">
        <f>'Prihodi po ek klas i izvorima'!E35</f>
        <v>0</v>
      </c>
      <c r="F58" s="49">
        <f>'Prihodi po ek klas i izvorima'!F35</f>
        <v>0</v>
      </c>
      <c r="G58" s="49"/>
      <c r="H58" s="49">
        <f>'Prihodi po ek klas i izvorima'!H35</f>
        <v>0</v>
      </c>
      <c r="I58" s="49">
        <f>'Prihodi po ek klas i izvorima'!I35</f>
        <v>0</v>
      </c>
      <c r="J58" s="49">
        <f>'Prihodi po ek klas i izvorima'!J35</f>
        <v>0</v>
      </c>
    </row>
    <row r="59" spans="2:10" x14ac:dyDescent="0.25">
      <c r="B59" s="38"/>
      <c r="C59" s="54">
        <v>66157</v>
      </c>
      <c r="D59" s="55" t="s">
        <v>656</v>
      </c>
      <c r="E59" s="49">
        <f>'Prihodi po ek klas i izvorima'!E36</f>
        <v>0</v>
      </c>
      <c r="F59" s="49">
        <f>'Prihodi po ek klas i izvorima'!F36</f>
        <v>0</v>
      </c>
      <c r="G59" s="49">
        <f>'Prihodi po ek klas i izvorima'!G36</f>
        <v>5000</v>
      </c>
      <c r="H59" s="49">
        <f>'Prihodi po ek klas i izvorima'!H36</f>
        <v>5000</v>
      </c>
      <c r="I59" s="49">
        <f>'Prihodi po ek klas i izvorima'!I36</f>
        <v>5600</v>
      </c>
      <c r="J59" s="49">
        <f>'Prihodi po ek klas i izvorima'!J36</f>
        <v>6812</v>
      </c>
    </row>
    <row r="60" spans="2:10" x14ac:dyDescent="0.25">
      <c r="B60" s="38"/>
      <c r="C60" s="38">
        <v>663</v>
      </c>
      <c r="D60" s="51" t="s">
        <v>255</v>
      </c>
      <c r="E60" s="52">
        <f t="shared" ref="E60:F60" si="41">E61+E64</f>
        <v>0</v>
      </c>
      <c r="F60" s="52">
        <f t="shared" si="41"/>
        <v>0</v>
      </c>
      <c r="G60" s="52">
        <f>G61+G64</f>
        <v>2000</v>
      </c>
      <c r="H60" s="52">
        <f>H61+H64</f>
        <v>2000</v>
      </c>
      <c r="I60" s="52">
        <f t="shared" ref="I60:J60" si="42">I61+I64</f>
        <v>2220</v>
      </c>
      <c r="J60" s="52">
        <f t="shared" si="42"/>
        <v>2440.4</v>
      </c>
    </row>
    <row r="61" spans="2:10" x14ac:dyDescent="0.25">
      <c r="B61" s="38"/>
      <c r="C61" s="38">
        <v>6631</v>
      </c>
      <c r="D61" s="51" t="s">
        <v>69</v>
      </c>
      <c r="E61" s="52">
        <f>SUM(E62:E63)</f>
        <v>0</v>
      </c>
      <c r="F61" s="52">
        <f t="shared" ref="F61:J61" si="43">SUM(F62:F63)</f>
        <v>0</v>
      </c>
      <c r="G61" s="52">
        <f t="shared" ref="G61" si="44">SUM(G62:G63)</f>
        <v>1500</v>
      </c>
      <c r="H61" s="52">
        <f t="shared" si="43"/>
        <v>1500</v>
      </c>
      <c r="I61" s="52">
        <f t="shared" si="43"/>
        <v>1720</v>
      </c>
      <c r="J61" s="52">
        <f t="shared" si="43"/>
        <v>1940.4</v>
      </c>
    </row>
    <row r="62" spans="2:10" x14ac:dyDescent="0.25">
      <c r="B62" s="54"/>
      <c r="C62" s="54">
        <v>66312</v>
      </c>
      <c r="D62" s="61" t="s">
        <v>663</v>
      </c>
      <c r="E62" s="49">
        <f>'Prihodi po ek klas i izvorima'!E101</f>
        <v>0</v>
      </c>
      <c r="F62" s="49">
        <f>'Prihodi po ek klas i izvorima'!F101</f>
        <v>0</v>
      </c>
      <c r="G62" s="49">
        <f>'Prihodi po ek klas i izvorima'!G101</f>
        <v>500</v>
      </c>
      <c r="H62" s="49">
        <f>'Prihodi po ek klas i izvorima'!H101</f>
        <v>500</v>
      </c>
      <c r="I62" s="49">
        <f>'Prihodi po ek klas i izvorima'!I101</f>
        <v>520</v>
      </c>
      <c r="J62" s="49">
        <f>'Prihodi po ek klas i izvorima'!J101</f>
        <v>540.4</v>
      </c>
    </row>
    <row r="63" spans="2:10" x14ac:dyDescent="0.25">
      <c r="B63" s="38"/>
      <c r="C63" s="54">
        <v>66313</v>
      </c>
      <c r="D63" s="61" t="s">
        <v>69</v>
      </c>
      <c r="E63" s="49">
        <f>'Prihodi po ek klas i izvorima'!E102</f>
        <v>0</v>
      </c>
      <c r="F63" s="49">
        <f>'Prihodi po ek klas i izvorima'!F102</f>
        <v>0</v>
      </c>
      <c r="G63" s="49">
        <f>'Prihodi po ek klas i izvorima'!G102</f>
        <v>1000</v>
      </c>
      <c r="H63" s="49">
        <f>'Prihodi po ek klas i izvorima'!H102</f>
        <v>1000</v>
      </c>
      <c r="I63" s="49">
        <f>'Prihodi po ek klas i izvorima'!I102</f>
        <v>1200</v>
      </c>
      <c r="J63" s="49">
        <f>'Prihodi po ek klas i izvorima'!J102</f>
        <v>1400</v>
      </c>
    </row>
    <row r="64" spans="2:10" s="42" customFormat="1" x14ac:dyDescent="0.25">
      <c r="B64" s="38"/>
      <c r="C64" s="38">
        <v>6632</v>
      </c>
      <c r="D64" s="51" t="s">
        <v>71</v>
      </c>
      <c r="E64" s="52">
        <f>E65</f>
        <v>0</v>
      </c>
      <c r="F64" s="52">
        <f t="shared" ref="F64:J64" si="45">F65</f>
        <v>0</v>
      </c>
      <c r="G64" s="52">
        <f t="shared" si="45"/>
        <v>500</v>
      </c>
      <c r="H64" s="52">
        <f t="shared" si="45"/>
        <v>500</v>
      </c>
      <c r="I64" s="52">
        <f t="shared" si="45"/>
        <v>500</v>
      </c>
      <c r="J64" s="52">
        <f t="shared" si="45"/>
        <v>500</v>
      </c>
    </row>
    <row r="65" spans="2:10" x14ac:dyDescent="0.25">
      <c r="B65" s="54"/>
      <c r="C65" s="54">
        <v>66323</v>
      </c>
      <c r="D65" s="61" t="s">
        <v>662</v>
      </c>
      <c r="E65" s="49">
        <f>'Prihodi po ek klas i izvorima'!E104</f>
        <v>0</v>
      </c>
      <c r="F65" s="49">
        <f>'Prihodi po ek klas i izvorima'!F104</f>
        <v>0</v>
      </c>
      <c r="G65" s="49">
        <f>'Prihodi po ek klas i izvorima'!G104</f>
        <v>500</v>
      </c>
      <c r="H65" s="49">
        <f>'Prihodi po ek klas i izvorima'!H104</f>
        <v>500</v>
      </c>
      <c r="I65" s="49">
        <f>'Prihodi po ek klas i izvorima'!I104</f>
        <v>500</v>
      </c>
      <c r="J65" s="49">
        <f>'Prihodi po ek klas i izvorima'!J104</f>
        <v>500</v>
      </c>
    </row>
    <row r="66" spans="2:10" x14ac:dyDescent="0.25">
      <c r="B66" s="38"/>
      <c r="C66" s="58">
        <v>67</v>
      </c>
      <c r="D66" s="59" t="s">
        <v>256</v>
      </c>
      <c r="E66" s="60" t="e">
        <f t="shared" ref="E66:F66" si="46">SUM(E67,E72)</f>
        <v>#REF!</v>
      </c>
      <c r="F66" s="60" t="e">
        <f t="shared" si="46"/>
        <v>#REF!</v>
      </c>
      <c r="G66" s="60">
        <f>SUM(G67,G72)</f>
        <v>20999127.919999998</v>
      </c>
      <c r="H66" s="60">
        <f>SUM(H67,H72)</f>
        <v>21370355.919999998</v>
      </c>
      <c r="I66" s="60">
        <f t="shared" ref="I66:J66" si="47">SUM(I67,I72)</f>
        <v>22097637.370000001</v>
      </c>
      <c r="J66" s="60">
        <f t="shared" si="47"/>
        <v>22577186.82</v>
      </c>
    </row>
    <row r="67" spans="2:10" ht="31.5" x14ac:dyDescent="0.25">
      <c r="B67" s="38"/>
      <c r="C67" s="62">
        <v>671</v>
      </c>
      <c r="D67" s="276" t="s">
        <v>10</v>
      </c>
      <c r="E67" s="63" t="e">
        <f t="shared" ref="E67:F67" si="48">E68+E70</f>
        <v>#REF!</v>
      </c>
      <c r="F67" s="63" t="e">
        <f t="shared" si="48"/>
        <v>#REF!</v>
      </c>
      <c r="G67" s="63">
        <f>G68+G70</f>
        <v>879378.02</v>
      </c>
      <c r="H67" s="63">
        <f>H68+H70</f>
        <v>1250606.02</v>
      </c>
      <c r="I67" s="63">
        <f t="shared" ref="I67:J67" si="49">I68+I70</f>
        <v>1250606.02</v>
      </c>
      <c r="J67" s="63">
        <f t="shared" si="49"/>
        <v>1250606.02</v>
      </c>
    </row>
    <row r="68" spans="2:10" ht="31.5" x14ac:dyDescent="0.25">
      <c r="B68" s="38"/>
      <c r="C68" s="62">
        <v>6711</v>
      </c>
      <c r="D68" s="276" t="s">
        <v>12</v>
      </c>
      <c r="E68" s="63">
        <f t="shared" ref="E68:F68" si="50">SUM(E69)</f>
        <v>0</v>
      </c>
      <c r="F68" s="63">
        <f t="shared" si="50"/>
        <v>0</v>
      </c>
      <c r="G68" s="63">
        <f>SUM(G69)</f>
        <v>603978.02</v>
      </c>
      <c r="H68" s="63">
        <f>SUM(H69)</f>
        <v>481103.03</v>
      </c>
      <c r="I68" s="63">
        <f t="shared" ref="I68:J68" si="51">SUM(I69)</f>
        <v>481103.03</v>
      </c>
      <c r="J68" s="63">
        <f t="shared" si="51"/>
        <v>481103.03</v>
      </c>
    </row>
    <row r="69" spans="2:10" ht="31.5" x14ac:dyDescent="0.25">
      <c r="B69" s="38"/>
      <c r="C69" s="64">
        <v>67111</v>
      </c>
      <c r="D69" s="277" t="s">
        <v>12</v>
      </c>
      <c r="E69" s="65">
        <f>'Prihodi po ek klas i izvorima'!E12</f>
        <v>0</v>
      </c>
      <c r="F69" s="65">
        <f>'Prihodi po ek klas i izvorima'!F12</f>
        <v>0</v>
      </c>
      <c r="G69" s="65">
        <f>'Prihodi po ek klas i izvorima'!G12</f>
        <v>603978.02</v>
      </c>
      <c r="H69" s="65">
        <f>'Prihodi po ek klas i izvorima'!H12</f>
        <v>481103.03</v>
      </c>
      <c r="I69" s="65">
        <f>'Prihodi po ek klas i izvorima'!I12</f>
        <v>481103.03</v>
      </c>
      <c r="J69" s="65">
        <f>'Prihodi po ek klas i izvorima'!J12</f>
        <v>481103.03</v>
      </c>
    </row>
    <row r="70" spans="2:10" ht="31.5" x14ac:dyDescent="0.25">
      <c r="B70" s="38"/>
      <c r="C70" s="62">
        <v>6712</v>
      </c>
      <c r="D70" s="276" t="s">
        <v>14</v>
      </c>
      <c r="E70" s="63" t="e">
        <f t="shared" ref="E70:F70" si="52">SUM(E71)</f>
        <v>#REF!</v>
      </c>
      <c r="F70" s="63" t="e">
        <f t="shared" si="52"/>
        <v>#REF!</v>
      </c>
      <c r="G70" s="63">
        <f>SUM(G71)</f>
        <v>275400</v>
      </c>
      <c r="H70" s="63">
        <f>SUM(H71)</f>
        <v>769502.99</v>
      </c>
      <c r="I70" s="63">
        <f t="shared" ref="I70:J70" si="53">SUM(I71)</f>
        <v>769502.99</v>
      </c>
      <c r="J70" s="63">
        <f t="shared" si="53"/>
        <v>769502.99</v>
      </c>
    </row>
    <row r="71" spans="2:10" x14ac:dyDescent="0.25">
      <c r="B71" s="38"/>
      <c r="C71" s="64">
        <v>67121</v>
      </c>
      <c r="D71" s="474" t="s">
        <v>14</v>
      </c>
      <c r="E71" s="65" t="e">
        <f>'Prihodi po ek klas i izvorima'!#REF!</f>
        <v>#REF!</v>
      </c>
      <c r="F71" s="65" t="e">
        <f>'Prihodi po ek klas i izvorima'!#REF!</f>
        <v>#REF!</v>
      </c>
      <c r="G71" s="65">
        <f>'Prihodi po ek klas i izvorima'!G14</f>
        <v>275400</v>
      </c>
      <c r="H71" s="65">
        <f>'Prihodi po ek klas i izvorima'!H14</f>
        <v>769502.99</v>
      </c>
      <c r="I71" s="65">
        <f>'Prihodi po ek klas i izvorima'!I14</f>
        <v>769502.99</v>
      </c>
      <c r="J71" s="65">
        <f>'Prihodi po ek klas i izvorima'!J14</f>
        <v>769502.99</v>
      </c>
    </row>
    <row r="72" spans="2:10" x14ac:dyDescent="0.25">
      <c r="B72" s="38"/>
      <c r="C72" s="38">
        <v>673</v>
      </c>
      <c r="D72" s="51" t="s">
        <v>257</v>
      </c>
      <c r="E72" s="52">
        <f t="shared" ref="E72:F72" si="54">SUM(E73)</f>
        <v>0</v>
      </c>
      <c r="F72" s="52">
        <f t="shared" si="54"/>
        <v>0</v>
      </c>
      <c r="G72" s="52">
        <f>SUM(G73)</f>
        <v>20119749.899999999</v>
      </c>
      <c r="H72" s="52">
        <f>SUM(H73)</f>
        <v>20119749.899999999</v>
      </c>
      <c r="I72" s="52">
        <f t="shared" ref="I72:J72" si="55">SUM(I73)</f>
        <v>20847031.350000001</v>
      </c>
      <c r="J72" s="52">
        <f t="shared" si="55"/>
        <v>21326580.800000001</v>
      </c>
    </row>
    <row r="73" spans="2:10" x14ac:dyDescent="0.25">
      <c r="B73" s="38"/>
      <c r="C73" s="38">
        <v>6731</v>
      </c>
      <c r="D73" s="51" t="s">
        <v>49</v>
      </c>
      <c r="E73" s="52">
        <f t="shared" ref="E73:F73" si="56">E74</f>
        <v>0</v>
      </c>
      <c r="F73" s="52">
        <f t="shared" si="56"/>
        <v>0</v>
      </c>
      <c r="G73" s="52">
        <f>G74</f>
        <v>20119749.899999999</v>
      </c>
      <c r="H73" s="52">
        <f>H74</f>
        <v>20119749.899999999</v>
      </c>
      <c r="I73" s="52">
        <f t="shared" ref="I73:J73" si="57">I74</f>
        <v>20847031.350000001</v>
      </c>
      <c r="J73" s="52">
        <f t="shared" si="57"/>
        <v>21326580.800000001</v>
      </c>
    </row>
    <row r="74" spans="2:10" x14ac:dyDescent="0.25">
      <c r="B74" s="38"/>
      <c r="C74" s="54">
        <v>67311</v>
      </c>
      <c r="D74" s="61" t="s">
        <v>49</v>
      </c>
      <c r="E74" s="49">
        <f>'Prihodi po ek klas i izvorima'!E61</f>
        <v>0</v>
      </c>
      <c r="F74" s="49">
        <f>'Prihodi po ek klas i izvorima'!F61</f>
        <v>0</v>
      </c>
      <c r="G74" s="49">
        <f>'Prihodi po ek klas i izvorima'!G61</f>
        <v>20119749.899999999</v>
      </c>
      <c r="H74" s="49">
        <f>'Prihodi po ek klas i izvorima'!H61</f>
        <v>20119749.899999999</v>
      </c>
      <c r="I74" s="49">
        <f>'Prihodi po ek klas i izvorima'!I61</f>
        <v>20847031.350000001</v>
      </c>
      <c r="J74" s="49">
        <f>'Prihodi po ek klas i izvorima'!J61</f>
        <v>21326580.800000001</v>
      </c>
    </row>
    <row r="75" spans="2:10" x14ac:dyDescent="0.25">
      <c r="B75" s="38"/>
      <c r="C75" s="58">
        <v>68</v>
      </c>
      <c r="D75" s="66" t="s">
        <v>52</v>
      </c>
      <c r="E75" s="60">
        <f t="shared" ref="E75:J75" si="58">SUM(E76)</f>
        <v>0</v>
      </c>
      <c r="F75" s="60">
        <f t="shared" si="58"/>
        <v>0</v>
      </c>
      <c r="G75" s="60">
        <f t="shared" si="58"/>
        <v>164000</v>
      </c>
      <c r="H75" s="60">
        <f t="shared" si="58"/>
        <v>164000</v>
      </c>
      <c r="I75" s="60">
        <f t="shared" si="58"/>
        <v>169620</v>
      </c>
      <c r="J75" s="60">
        <f t="shared" si="58"/>
        <v>170252.4</v>
      </c>
    </row>
    <row r="76" spans="2:10" x14ac:dyDescent="0.25">
      <c r="B76" s="38"/>
      <c r="C76" s="38">
        <v>683</v>
      </c>
      <c r="D76" s="51" t="s">
        <v>54</v>
      </c>
      <c r="E76" s="52">
        <f t="shared" ref="E76:F76" si="59">E77</f>
        <v>0</v>
      </c>
      <c r="F76" s="52">
        <f t="shared" si="59"/>
        <v>0</v>
      </c>
      <c r="G76" s="52">
        <f>G77</f>
        <v>164000</v>
      </c>
      <c r="H76" s="52">
        <f>H77</f>
        <v>164000</v>
      </c>
      <c r="I76" s="52">
        <f t="shared" ref="I76:J76" si="60">I77</f>
        <v>169620</v>
      </c>
      <c r="J76" s="52">
        <f t="shared" si="60"/>
        <v>170252.4</v>
      </c>
    </row>
    <row r="77" spans="2:10" x14ac:dyDescent="0.25">
      <c r="B77" s="38"/>
      <c r="C77" s="38">
        <v>6831</v>
      </c>
      <c r="D77" s="51" t="s">
        <v>54</v>
      </c>
      <c r="E77" s="52">
        <f>E78+E79+E80</f>
        <v>0</v>
      </c>
      <c r="F77" s="52">
        <f t="shared" ref="F77:J77" si="61">F78+F79+F80</f>
        <v>0</v>
      </c>
      <c r="G77" s="52">
        <f t="shared" ref="G77" si="62">G78+G79+G80</f>
        <v>164000</v>
      </c>
      <c r="H77" s="52">
        <f t="shared" si="61"/>
        <v>164000</v>
      </c>
      <c r="I77" s="52">
        <f t="shared" si="61"/>
        <v>169620</v>
      </c>
      <c r="J77" s="52">
        <f t="shared" si="61"/>
        <v>170252.4</v>
      </c>
    </row>
    <row r="78" spans="2:10" x14ac:dyDescent="0.25">
      <c r="B78" s="38"/>
      <c r="C78" s="54">
        <v>68311</v>
      </c>
      <c r="D78" s="61" t="s">
        <v>54</v>
      </c>
      <c r="E78" s="49">
        <f>'Prihodi po ek klas i izvorima'!E40+'Prihodi po ek klas i izvorima'!E65</f>
        <v>0</v>
      </c>
      <c r="F78" s="49">
        <f>'Prihodi po ek klas i izvorima'!F40+'Prihodi po ek klas i izvorima'!F65</f>
        <v>0</v>
      </c>
      <c r="G78" s="49">
        <f>'Prihodi po ek klas i izvorima'!G40+'Prihodi po ek klas i izvorima'!G65</f>
        <v>136000</v>
      </c>
      <c r="H78" s="49">
        <f>'Prihodi po ek klas i izvorima'!H40+'Prihodi po ek klas i izvorima'!H65</f>
        <v>136000</v>
      </c>
      <c r="I78" s="49">
        <f>'Prihodi po ek klas i izvorima'!I40+'Prihodi po ek klas i izvorima'!I65</f>
        <v>141000</v>
      </c>
      <c r="J78" s="49">
        <f>'Prihodi po ek klas i izvorima'!J40+'Prihodi po ek klas i izvorima'!J65</f>
        <v>141000</v>
      </c>
    </row>
    <row r="79" spans="2:10" x14ac:dyDescent="0.25">
      <c r="B79" s="38"/>
      <c r="C79" s="54">
        <v>68312</v>
      </c>
      <c r="D79" s="61" t="s">
        <v>659</v>
      </c>
      <c r="E79" s="49">
        <f>'Prihodi po ek klas i izvorima'!E41</f>
        <v>0</v>
      </c>
      <c r="F79" s="49">
        <f>'Prihodi po ek klas i izvorima'!F41</f>
        <v>0</v>
      </c>
      <c r="G79" s="49">
        <f>'Prihodi po ek klas i izvorima'!G41</f>
        <v>3000</v>
      </c>
      <c r="H79" s="49">
        <f>'Prihodi po ek klas i izvorima'!H41</f>
        <v>3000</v>
      </c>
      <c r="I79" s="49">
        <f>'Prihodi po ek klas i izvorima'!I41</f>
        <v>3000</v>
      </c>
      <c r="J79" s="49">
        <f>'Prihodi po ek klas i izvorima'!J41</f>
        <v>3000</v>
      </c>
    </row>
    <row r="80" spans="2:10" x14ac:dyDescent="0.25">
      <c r="B80" s="38"/>
      <c r="C80" s="54">
        <v>68313</v>
      </c>
      <c r="D80" s="61" t="s">
        <v>664</v>
      </c>
      <c r="E80" s="49">
        <f>'Prihodi po ek klas i izvorima'!E42</f>
        <v>0</v>
      </c>
      <c r="F80" s="49">
        <f>'Prihodi po ek klas i izvorima'!F42</f>
        <v>0</v>
      </c>
      <c r="G80" s="49">
        <f>'Prihodi po ek klas i izvorima'!G42</f>
        <v>25000</v>
      </c>
      <c r="H80" s="49">
        <f>'Prihodi po ek klas i izvorima'!H42</f>
        <v>25000</v>
      </c>
      <c r="I80" s="49">
        <f>'Prihodi po ek klas i izvorima'!I42</f>
        <v>25620</v>
      </c>
      <c r="J80" s="49">
        <f>'Prihodi po ek klas i izvorima'!J42</f>
        <v>26252.400000000001</v>
      </c>
    </row>
    <row r="81" spans="2:10" x14ac:dyDescent="0.25">
      <c r="B81" s="35">
        <v>7</v>
      </c>
      <c r="C81" s="35"/>
      <c r="D81" s="67" t="s">
        <v>75</v>
      </c>
      <c r="E81" s="68">
        <f t="shared" ref="E81" si="63">SUM(E82)</f>
        <v>0</v>
      </c>
      <c r="F81" s="68">
        <f t="shared" ref="F81" si="64">SUM(F82)</f>
        <v>0</v>
      </c>
      <c r="G81" s="68">
        <f t="shared" ref="G81:H81" si="65">SUM(G82)</f>
        <v>1300</v>
      </c>
      <c r="H81" s="68">
        <f t="shared" si="65"/>
        <v>1300</v>
      </c>
      <c r="I81" s="68">
        <f t="shared" ref="I81" si="66">SUM(I82)</f>
        <v>0</v>
      </c>
      <c r="J81" s="68">
        <f t="shared" ref="J81" si="67">SUM(J82)</f>
        <v>0</v>
      </c>
    </row>
    <row r="82" spans="2:10" s="53" customFormat="1" ht="19.5" customHeight="1" x14ac:dyDescent="0.25">
      <c r="B82" s="38"/>
      <c r="C82" s="58">
        <v>72</v>
      </c>
      <c r="D82" s="69" t="s">
        <v>76</v>
      </c>
      <c r="E82" s="60">
        <f t="shared" ref="E82" si="68">SUM(E83,E86)</f>
        <v>0</v>
      </c>
      <c r="F82" s="60">
        <f t="shared" ref="F82" si="69">SUM(F83,F86)</f>
        <v>0</v>
      </c>
      <c r="G82" s="60">
        <f t="shared" ref="G82:H82" si="70">SUM(G83,G86)</f>
        <v>1300</v>
      </c>
      <c r="H82" s="60">
        <f t="shared" si="70"/>
        <v>1300</v>
      </c>
      <c r="I82" s="60">
        <f t="shared" ref="I82" si="71">SUM(I83,I86)</f>
        <v>0</v>
      </c>
      <c r="J82" s="60">
        <f t="shared" ref="J82" si="72">SUM(J83,J86)</f>
        <v>0</v>
      </c>
    </row>
    <row r="83" spans="2:10" x14ac:dyDescent="0.25">
      <c r="B83" s="38"/>
      <c r="C83" s="38">
        <v>721</v>
      </c>
      <c r="D83" s="51" t="s">
        <v>77</v>
      </c>
      <c r="E83" s="52">
        <f t="shared" ref="E83" si="73">E84</f>
        <v>0</v>
      </c>
      <c r="F83" s="52">
        <f t="shared" ref="F83:F84" si="74">F84</f>
        <v>0</v>
      </c>
      <c r="G83" s="52">
        <f t="shared" ref="G83:H84" si="75">G84</f>
        <v>1300</v>
      </c>
      <c r="H83" s="52">
        <f t="shared" si="75"/>
        <v>1300</v>
      </c>
      <c r="I83" s="52">
        <f t="shared" ref="I83:I84" si="76">I84</f>
        <v>0</v>
      </c>
      <c r="J83" s="52">
        <f t="shared" ref="J83:J84" si="77">J84</f>
        <v>0</v>
      </c>
    </row>
    <row r="84" spans="2:10" x14ac:dyDescent="0.25">
      <c r="B84" s="38"/>
      <c r="C84" s="38">
        <v>7211</v>
      </c>
      <c r="D84" s="51" t="s">
        <v>78</v>
      </c>
      <c r="E84" s="52">
        <f>E85</f>
        <v>0</v>
      </c>
      <c r="F84" s="52">
        <f t="shared" si="74"/>
        <v>0</v>
      </c>
      <c r="G84" s="52">
        <f t="shared" si="75"/>
        <v>1300</v>
      </c>
      <c r="H84" s="52">
        <f t="shared" si="75"/>
        <v>1300</v>
      </c>
      <c r="I84" s="52">
        <f t="shared" si="76"/>
        <v>0</v>
      </c>
      <c r="J84" s="52">
        <f t="shared" si="77"/>
        <v>0</v>
      </c>
    </row>
    <row r="85" spans="2:10" x14ac:dyDescent="0.25">
      <c r="B85" s="54"/>
      <c r="C85" s="54">
        <v>72111</v>
      </c>
      <c r="D85" s="61" t="s">
        <v>650</v>
      </c>
      <c r="E85" s="49">
        <f>'Prihodi po ek klas i izvorima'!E116</f>
        <v>0</v>
      </c>
      <c r="F85" s="49">
        <f>'Prihodi po ek klas i izvorima'!F116</f>
        <v>0</v>
      </c>
      <c r="G85" s="49">
        <f>'Prihodi po ek klas i izvorima'!G116</f>
        <v>1300</v>
      </c>
      <c r="H85" s="49">
        <f>'Prihodi po ek klas i izvorima'!H116</f>
        <v>1300</v>
      </c>
      <c r="I85" s="49">
        <f>'Prihodi po ek klas i izvorima'!I116</f>
        <v>0</v>
      </c>
      <c r="J85" s="49">
        <f>'Prihodi po ek klas i izvorima'!J116</f>
        <v>0</v>
      </c>
    </row>
    <row r="86" spans="2:10" s="42" customFormat="1" hidden="1" x14ac:dyDescent="0.25">
      <c r="B86" s="38"/>
      <c r="C86" s="38">
        <v>723</v>
      </c>
      <c r="D86" s="51" t="s">
        <v>79</v>
      </c>
      <c r="E86" s="52">
        <f t="shared" ref="E86" si="78">E87</f>
        <v>0</v>
      </c>
      <c r="F86" s="52">
        <f t="shared" ref="F86" si="79">F87</f>
        <v>0</v>
      </c>
      <c r="G86" s="52"/>
      <c r="H86" s="52">
        <f t="shared" ref="H86" si="80">H87</f>
        <v>0</v>
      </c>
      <c r="I86" s="52">
        <f t="shared" ref="I86" si="81">I87</f>
        <v>0</v>
      </c>
      <c r="J86" s="52">
        <f t="shared" ref="J86" si="82">J87</f>
        <v>0</v>
      </c>
    </row>
    <row r="87" spans="2:10" hidden="1" x14ac:dyDescent="0.25">
      <c r="B87" s="38"/>
      <c r="C87" s="38">
        <v>7231</v>
      </c>
      <c r="D87" s="51" t="s">
        <v>80</v>
      </c>
      <c r="E87" s="52">
        <f>'Prihodi po ek klas i izvorima'!E118</f>
        <v>0</v>
      </c>
      <c r="F87" s="52">
        <f>'Prihodi po ek klas i izvorima'!F118</f>
        <v>0</v>
      </c>
      <c r="G87" s="52"/>
      <c r="H87" s="52">
        <f>'Prihodi po ek klas i izvorima'!H118</f>
        <v>0</v>
      </c>
      <c r="I87" s="52">
        <f>'Prihodi po ek klas i izvorima'!I118</f>
        <v>0</v>
      </c>
      <c r="J87" s="52">
        <f>'Prihodi po ek klas i izvorima'!J118</f>
        <v>0</v>
      </c>
    </row>
    <row r="88" spans="2:10" x14ac:dyDescent="0.25">
      <c r="B88" s="530" t="s">
        <v>258</v>
      </c>
      <c r="C88" s="531"/>
      <c r="D88" s="532"/>
      <c r="E88" s="71" t="e">
        <f t="shared" ref="E88:J88" si="83">E10+E81</f>
        <v>#REF!</v>
      </c>
      <c r="F88" s="71" t="e">
        <f t="shared" si="83"/>
        <v>#REF!</v>
      </c>
      <c r="G88" s="71">
        <f t="shared" si="83"/>
        <v>27029768.079999998</v>
      </c>
      <c r="H88" s="71">
        <f t="shared" si="83"/>
        <v>27400996.079999998</v>
      </c>
      <c r="I88" s="71">
        <f t="shared" si="83"/>
        <v>28076192.190000001</v>
      </c>
      <c r="J88" s="71">
        <f t="shared" si="83"/>
        <v>28547127.919999998</v>
      </c>
    </row>
  </sheetData>
  <mergeCells count="6">
    <mergeCell ref="B88:D88"/>
    <mergeCell ref="B2:J2"/>
    <mergeCell ref="B4:J4"/>
    <mergeCell ref="B6:J6"/>
    <mergeCell ref="C7:J7"/>
    <mergeCell ref="B8:J8"/>
  </mergeCells>
  <pageMargins left="0.7" right="0.7" top="0.75" bottom="0.75" header="0.3" footer="0.3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84"/>
  <sheetViews>
    <sheetView workbookViewId="0">
      <selection activeCell="J257" sqref="J1:J1048576"/>
    </sheetView>
  </sheetViews>
  <sheetFormatPr defaultRowHeight="15.75" x14ac:dyDescent="0.25"/>
  <cols>
    <col min="1" max="1" width="9.140625" style="75" customWidth="1"/>
    <col min="2" max="2" width="9.140625" style="92" customWidth="1"/>
    <col min="3" max="3" width="65.28515625" style="92" customWidth="1"/>
    <col min="4" max="5" width="21.140625" style="92" hidden="1" customWidth="1"/>
    <col min="6" max="6" width="21.140625" style="92" customWidth="1"/>
    <col min="7" max="7" width="20.140625" style="93" bestFit="1" customWidth="1"/>
    <col min="8" max="8" width="19.28515625" style="92" hidden="1" customWidth="1"/>
    <col min="9" max="9" width="18.85546875" style="92" hidden="1" customWidth="1"/>
    <col min="10" max="256" width="9.140625" style="74"/>
    <col min="257" max="257" width="55.28515625" style="74" bestFit="1" customWidth="1"/>
    <col min="258" max="258" width="0" style="74" hidden="1" customWidth="1"/>
    <col min="259" max="259" width="21.85546875" style="74" bestFit="1" customWidth="1"/>
    <col min="260" max="260" width="0" style="74" hidden="1" customWidth="1"/>
    <col min="261" max="261" width="21.42578125" style="74" customWidth="1"/>
    <col min="262" max="262" width="10" style="74" bestFit="1" customWidth="1"/>
    <col min="263" max="263" width="0" style="74" hidden="1" customWidth="1"/>
    <col min="264" max="512" width="9.140625" style="74"/>
    <col min="513" max="513" width="55.28515625" style="74" bestFit="1" customWidth="1"/>
    <col min="514" max="514" width="0" style="74" hidden="1" customWidth="1"/>
    <col min="515" max="515" width="21.85546875" style="74" bestFit="1" customWidth="1"/>
    <col min="516" max="516" width="0" style="74" hidden="1" customWidth="1"/>
    <col min="517" max="517" width="21.42578125" style="74" customWidth="1"/>
    <col min="518" max="518" width="10" style="74" bestFit="1" customWidth="1"/>
    <col min="519" max="519" width="0" style="74" hidden="1" customWidth="1"/>
    <col min="520" max="768" width="9.140625" style="74"/>
    <col min="769" max="769" width="55.28515625" style="74" bestFit="1" customWidth="1"/>
    <col min="770" max="770" width="0" style="74" hidden="1" customWidth="1"/>
    <col min="771" max="771" width="21.85546875" style="74" bestFit="1" customWidth="1"/>
    <col min="772" max="772" width="0" style="74" hidden="1" customWidth="1"/>
    <col min="773" max="773" width="21.42578125" style="74" customWidth="1"/>
    <col min="774" max="774" width="10" style="74" bestFit="1" customWidth="1"/>
    <col min="775" max="775" width="0" style="74" hidden="1" customWidth="1"/>
    <col min="776" max="1024" width="9.140625" style="74"/>
    <col min="1025" max="1025" width="55.28515625" style="74" bestFit="1" customWidth="1"/>
    <col min="1026" max="1026" width="0" style="74" hidden="1" customWidth="1"/>
    <col min="1027" max="1027" width="21.85546875" style="74" bestFit="1" customWidth="1"/>
    <col min="1028" max="1028" width="0" style="74" hidden="1" customWidth="1"/>
    <col min="1029" max="1029" width="21.42578125" style="74" customWidth="1"/>
    <col min="1030" max="1030" width="10" style="74" bestFit="1" customWidth="1"/>
    <col min="1031" max="1031" width="0" style="74" hidden="1" customWidth="1"/>
    <col min="1032" max="1280" width="9.140625" style="74"/>
    <col min="1281" max="1281" width="55.28515625" style="74" bestFit="1" customWidth="1"/>
    <col min="1282" max="1282" width="0" style="74" hidden="1" customWidth="1"/>
    <col min="1283" max="1283" width="21.85546875" style="74" bestFit="1" customWidth="1"/>
    <col min="1284" max="1284" width="0" style="74" hidden="1" customWidth="1"/>
    <col min="1285" max="1285" width="21.42578125" style="74" customWidth="1"/>
    <col min="1286" max="1286" width="10" style="74" bestFit="1" customWidth="1"/>
    <col min="1287" max="1287" width="0" style="74" hidden="1" customWidth="1"/>
    <col min="1288" max="1536" width="9.140625" style="74"/>
    <col min="1537" max="1537" width="55.28515625" style="74" bestFit="1" customWidth="1"/>
    <col min="1538" max="1538" width="0" style="74" hidden="1" customWidth="1"/>
    <col min="1539" max="1539" width="21.85546875" style="74" bestFit="1" customWidth="1"/>
    <col min="1540" max="1540" width="0" style="74" hidden="1" customWidth="1"/>
    <col min="1541" max="1541" width="21.42578125" style="74" customWidth="1"/>
    <col min="1542" max="1542" width="10" style="74" bestFit="1" customWidth="1"/>
    <col min="1543" max="1543" width="0" style="74" hidden="1" customWidth="1"/>
    <col min="1544" max="1792" width="9.140625" style="74"/>
    <col min="1793" max="1793" width="55.28515625" style="74" bestFit="1" customWidth="1"/>
    <col min="1794" max="1794" width="0" style="74" hidden="1" customWidth="1"/>
    <col min="1795" max="1795" width="21.85546875" style="74" bestFit="1" customWidth="1"/>
    <col min="1796" max="1796" width="0" style="74" hidden="1" customWidth="1"/>
    <col min="1797" max="1797" width="21.42578125" style="74" customWidth="1"/>
    <col min="1798" max="1798" width="10" style="74" bestFit="1" customWidth="1"/>
    <col min="1799" max="1799" width="0" style="74" hidden="1" customWidth="1"/>
    <col min="1800" max="2048" width="9.140625" style="74"/>
    <col min="2049" max="2049" width="55.28515625" style="74" bestFit="1" customWidth="1"/>
    <col min="2050" max="2050" width="0" style="74" hidden="1" customWidth="1"/>
    <col min="2051" max="2051" width="21.85546875" style="74" bestFit="1" customWidth="1"/>
    <col min="2052" max="2052" width="0" style="74" hidden="1" customWidth="1"/>
    <col min="2053" max="2053" width="21.42578125" style="74" customWidth="1"/>
    <col min="2054" max="2054" width="10" style="74" bestFit="1" customWidth="1"/>
    <col min="2055" max="2055" width="0" style="74" hidden="1" customWidth="1"/>
    <col min="2056" max="2304" width="9.140625" style="74"/>
    <col min="2305" max="2305" width="55.28515625" style="74" bestFit="1" customWidth="1"/>
    <col min="2306" max="2306" width="0" style="74" hidden="1" customWidth="1"/>
    <col min="2307" max="2307" width="21.85546875" style="74" bestFit="1" customWidth="1"/>
    <col min="2308" max="2308" width="0" style="74" hidden="1" customWidth="1"/>
    <col min="2309" max="2309" width="21.42578125" style="74" customWidth="1"/>
    <col min="2310" max="2310" width="10" style="74" bestFit="1" customWidth="1"/>
    <col min="2311" max="2311" width="0" style="74" hidden="1" customWidth="1"/>
    <col min="2312" max="2560" width="9.140625" style="74"/>
    <col min="2561" max="2561" width="55.28515625" style="74" bestFit="1" customWidth="1"/>
    <col min="2562" max="2562" width="0" style="74" hidden="1" customWidth="1"/>
    <col min="2563" max="2563" width="21.85546875" style="74" bestFit="1" customWidth="1"/>
    <col min="2564" max="2564" width="0" style="74" hidden="1" customWidth="1"/>
    <col min="2565" max="2565" width="21.42578125" style="74" customWidth="1"/>
    <col min="2566" max="2566" width="10" style="74" bestFit="1" customWidth="1"/>
    <col min="2567" max="2567" width="0" style="74" hidden="1" customWidth="1"/>
    <col min="2568" max="2816" width="9.140625" style="74"/>
    <col min="2817" max="2817" width="55.28515625" style="74" bestFit="1" customWidth="1"/>
    <col min="2818" max="2818" width="0" style="74" hidden="1" customWidth="1"/>
    <col min="2819" max="2819" width="21.85546875" style="74" bestFit="1" customWidth="1"/>
    <col min="2820" max="2820" width="0" style="74" hidden="1" customWidth="1"/>
    <col min="2821" max="2821" width="21.42578125" style="74" customWidth="1"/>
    <col min="2822" max="2822" width="10" style="74" bestFit="1" customWidth="1"/>
    <col min="2823" max="2823" width="0" style="74" hidden="1" customWidth="1"/>
    <col min="2824" max="3072" width="9.140625" style="74"/>
    <col min="3073" max="3073" width="55.28515625" style="74" bestFit="1" customWidth="1"/>
    <col min="3074" max="3074" width="0" style="74" hidden="1" customWidth="1"/>
    <col min="3075" max="3075" width="21.85546875" style="74" bestFit="1" customWidth="1"/>
    <col min="3076" max="3076" width="0" style="74" hidden="1" customWidth="1"/>
    <col min="3077" max="3077" width="21.42578125" style="74" customWidth="1"/>
    <col min="3078" max="3078" width="10" style="74" bestFit="1" customWidth="1"/>
    <col min="3079" max="3079" width="0" style="74" hidden="1" customWidth="1"/>
    <col min="3080" max="3328" width="9.140625" style="74"/>
    <col min="3329" max="3329" width="55.28515625" style="74" bestFit="1" customWidth="1"/>
    <col min="3330" max="3330" width="0" style="74" hidden="1" customWidth="1"/>
    <col min="3331" max="3331" width="21.85546875" style="74" bestFit="1" customWidth="1"/>
    <col min="3332" max="3332" width="0" style="74" hidden="1" customWidth="1"/>
    <col min="3333" max="3333" width="21.42578125" style="74" customWidth="1"/>
    <col min="3334" max="3334" width="10" style="74" bestFit="1" customWidth="1"/>
    <col min="3335" max="3335" width="0" style="74" hidden="1" customWidth="1"/>
    <col min="3336" max="3584" width="9.140625" style="74"/>
    <col min="3585" max="3585" width="55.28515625" style="74" bestFit="1" customWidth="1"/>
    <col min="3586" max="3586" width="0" style="74" hidden="1" customWidth="1"/>
    <col min="3587" max="3587" width="21.85546875" style="74" bestFit="1" customWidth="1"/>
    <col min="3588" max="3588" width="0" style="74" hidden="1" customWidth="1"/>
    <col min="3589" max="3589" width="21.42578125" style="74" customWidth="1"/>
    <col min="3590" max="3590" width="10" style="74" bestFit="1" customWidth="1"/>
    <col min="3591" max="3591" width="0" style="74" hidden="1" customWidth="1"/>
    <col min="3592" max="3840" width="9.140625" style="74"/>
    <col min="3841" max="3841" width="55.28515625" style="74" bestFit="1" customWidth="1"/>
    <col min="3842" max="3842" width="0" style="74" hidden="1" customWidth="1"/>
    <col min="3843" max="3843" width="21.85546875" style="74" bestFit="1" customWidth="1"/>
    <col min="3844" max="3844" width="0" style="74" hidden="1" customWidth="1"/>
    <col min="3845" max="3845" width="21.42578125" style="74" customWidth="1"/>
    <col min="3846" max="3846" width="10" style="74" bestFit="1" customWidth="1"/>
    <col min="3847" max="3847" width="0" style="74" hidden="1" customWidth="1"/>
    <col min="3848" max="4096" width="9.140625" style="74"/>
    <col min="4097" max="4097" width="55.28515625" style="74" bestFit="1" customWidth="1"/>
    <col min="4098" max="4098" width="0" style="74" hidden="1" customWidth="1"/>
    <col min="4099" max="4099" width="21.85546875" style="74" bestFit="1" customWidth="1"/>
    <col min="4100" max="4100" width="0" style="74" hidden="1" customWidth="1"/>
    <col min="4101" max="4101" width="21.42578125" style="74" customWidth="1"/>
    <col min="4102" max="4102" width="10" style="74" bestFit="1" customWidth="1"/>
    <col min="4103" max="4103" width="0" style="74" hidden="1" customWidth="1"/>
    <col min="4104" max="4352" width="9.140625" style="74"/>
    <col min="4353" max="4353" width="55.28515625" style="74" bestFit="1" customWidth="1"/>
    <col min="4354" max="4354" width="0" style="74" hidden="1" customWidth="1"/>
    <col min="4355" max="4355" width="21.85546875" style="74" bestFit="1" customWidth="1"/>
    <col min="4356" max="4356" width="0" style="74" hidden="1" customWidth="1"/>
    <col min="4357" max="4357" width="21.42578125" style="74" customWidth="1"/>
    <col min="4358" max="4358" width="10" style="74" bestFit="1" customWidth="1"/>
    <col min="4359" max="4359" width="0" style="74" hidden="1" customWidth="1"/>
    <col min="4360" max="4608" width="9.140625" style="74"/>
    <col min="4609" max="4609" width="55.28515625" style="74" bestFit="1" customWidth="1"/>
    <col min="4610" max="4610" width="0" style="74" hidden="1" customWidth="1"/>
    <col min="4611" max="4611" width="21.85546875" style="74" bestFit="1" customWidth="1"/>
    <col min="4612" max="4612" width="0" style="74" hidden="1" customWidth="1"/>
    <col min="4613" max="4613" width="21.42578125" style="74" customWidth="1"/>
    <col min="4614" max="4614" width="10" style="74" bestFit="1" customWidth="1"/>
    <col min="4615" max="4615" width="0" style="74" hidden="1" customWidth="1"/>
    <col min="4616" max="4864" width="9.140625" style="74"/>
    <col min="4865" max="4865" width="55.28515625" style="74" bestFit="1" customWidth="1"/>
    <col min="4866" max="4866" width="0" style="74" hidden="1" customWidth="1"/>
    <col min="4867" max="4867" width="21.85546875" style="74" bestFit="1" customWidth="1"/>
    <col min="4868" max="4868" width="0" style="74" hidden="1" customWidth="1"/>
    <col min="4869" max="4869" width="21.42578125" style="74" customWidth="1"/>
    <col min="4870" max="4870" width="10" style="74" bestFit="1" customWidth="1"/>
    <col min="4871" max="4871" width="0" style="74" hidden="1" customWidth="1"/>
    <col min="4872" max="5120" width="9.140625" style="74"/>
    <col min="5121" max="5121" width="55.28515625" style="74" bestFit="1" customWidth="1"/>
    <col min="5122" max="5122" width="0" style="74" hidden="1" customWidth="1"/>
    <col min="5123" max="5123" width="21.85546875" style="74" bestFit="1" customWidth="1"/>
    <col min="5124" max="5124" width="0" style="74" hidden="1" customWidth="1"/>
    <col min="5125" max="5125" width="21.42578125" style="74" customWidth="1"/>
    <col min="5126" max="5126" width="10" style="74" bestFit="1" customWidth="1"/>
    <col min="5127" max="5127" width="0" style="74" hidden="1" customWidth="1"/>
    <col min="5128" max="5376" width="9.140625" style="74"/>
    <col min="5377" max="5377" width="55.28515625" style="74" bestFit="1" customWidth="1"/>
    <col min="5378" max="5378" width="0" style="74" hidden="1" customWidth="1"/>
    <col min="5379" max="5379" width="21.85546875" style="74" bestFit="1" customWidth="1"/>
    <col min="5380" max="5380" width="0" style="74" hidden="1" customWidth="1"/>
    <col min="5381" max="5381" width="21.42578125" style="74" customWidth="1"/>
    <col min="5382" max="5382" width="10" style="74" bestFit="1" customWidth="1"/>
    <col min="5383" max="5383" width="0" style="74" hidden="1" customWidth="1"/>
    <col min="5384" max="5632" width="9.140625" style="74"/>
    <col min="5633" max="5633" width="55.28515625" style="74" bestFit="1" customWidth="1"/>
    <col min="5634" max="5634" width="0" style="74" hidden="1" customWidth="1"/>
    <col min="5635" max="5635" width="21.85546875" style="74" bestFit="1" customWidth="1"/>
    <col min="5636" max="5636" width="0" style="74" hidden="1" customWidth="1"/>
    <col min="5637" max="5637" width="21.42578125" style="74" customWidth="1"/>
    <col min="5638" max="5638" width="10" style="74" bestFit="1" customWidth="1"/>
    <col min="5639" max="5639" width="0" style="74" hidden="1" customWidth="1"/>
    <col min="5640" max="5888" width="9.140625" style="74"/>
    <col min="5889" max="5889" width="55.28515625" style="74" bestFit="1" customWidth="1"/>
    <col min="5890" max="5890" width="0" style="74" hidden="1" customWidth="1"/>
    <col min="5891" max="5891" width="21.85546875" style="74" bestFit="1" customWidth="1"/>
    <col min="5892" max="5892" width="0" style="74" hidden="1" customWidth="1"/>
    <col min="5893" max="5893" width="21.42578125" style="74" customWidth="1"/>
    <col min="5894" max="5894" width="10" style="74" bestFit="1" customWidth="1"/>
    <col min="5895" max="5895" width="0" style="74" hidden="1" customWidth="1"/>
    <col min="5896" max="6144" width="9.140625" style="74"/>
    <col min="6145" max="6145" width="55.28515625" style="74" bestFit="1" customWidth="1"/>
    <col min="6146" max="6146" width="0" style="74" hidden="1" customWidth="1"/>
    <col min="6147" max="6147" width="21.85546875" style="74" bestFit="1" customWidth="1"/>
    <col min="6148" max="6148" width="0" style="74" hidden="1" customWidth="1"/>
    <col min="6149" max="6149" width="21.42578125" style="74" customWidth="1"/>
    <col min="6150" max="6150" width="10" style="74" bestFit="1" customWidth="1"/>
    <col min="6151" max="6151" width="0" style="74" hidden="1" customWidth="1"/>
    <col min="6152" max="6400" width="9.140625" style="74"/>
    <col min="6401" max="6401" width="55.28515625" style="74" bestFit="1" customWidth="1"/>
    <col min="6402" max="6402" width="0" style="74" hidden="1" customWidth="1"/>
    <col min="6403" max="6403" width="21.85546875" style="74" bestFit="1" customWidth="1"/>
    <col min="6404" max="6404" width="0" style="74" hidden="1" customWidth="1"/>
    <col min="6405" max="6405" width="21.42578125" style="74" customWidth="1"/>
    <col min="6406" max="6406" width="10" style="74" bestFit="1" customWidth="1"/>
    <col min="6407" max="6407" width="0" style="74" hidden="1" customWidth="1"/>
    <col min="6408" max="6656" width="9.140625" style="74"/>
    <col min="6657" max="6657" width="55.28515625" style="74" bestFit="1" customWidth="1"/>
    <col min="6658" max="6658" width="0" style="74" hidden="1" customWidth="1"/>
    <col min="6659" max="6659" width="21.85546875" style="74" bestFit="1" customWidth="1"/>
    <col min="6660" max="6660" width="0" style="74" hidden="1" customWidth="1"/>
    <col min="6661" max="6661" width="21.42578125" style="74" customWidth="1"/>
    <col min="6662" max="6662" width="10" style="74" bestFit="1" customWidth="1"/>
    <col min="6663" max="6663" width="0" style="74" hidden="1" customWidth="1"/>
    <col min="6664" max="6912" width="9.140625" style="74"/>
    <col min="6913" max="6913" width="55.28515625" style="74" bestFit="1" customWidth="1"/>
    <col min="6914" max="6914" width="0" style="74" hidden="1" customWidth="1"/>
    <col min="6915" max="6915" width="21.85546875" style="74" bestFit="1" customWidth="1"/>
    <col min="6916" max="6916" width="0" style="74" hidden="1" customWidth="1"/>
    <col min="6917" max="6917" width="21.42578125" style="74" customWidth="1"/>
    <col min="6918" max="6918" width="10" style="74" bestFit="1" customWidth="1"/>
    <col min="6919" max="6919" width="0" style="74" hidden="1" customWidth="1"/>
    <col min="6920" max="7168" width="9.140625" style="74"/>
    <col min="7169" max="7169" width="55.28515625" style="74" bestFit="1" customWidth="1"/>
    <col min="7170" max="7170" width="0" style="74" hidden="1" customWidth="1"/>
    <col min="7171" max="7171" width="21.85546875" style="74" bestFit="1" customWidth="1"/>
    <col min="7172" max="7172" width="0" style="74" hidden="1" customWidth="1"/>
    <col min="7173" max="7173" width="21.42578125" style="74" customWidth="1"/>
    <col min="7174" max="7174" width="10" style="74" bestFit="1" customWidth="1"/>
    <col min="7175" max="7175" width="0" style="74" hidden="1" customWidth="1"/>
    <col min="7176" max="7424" width="9.140625" style="74"/>
    <col min="7425" max="7425" width="55.28515625" style="74" bestFit="1" customWidth="1"/>
    <col min="7426" max="7426" width="0" style="74" hidden="1" customWidth="1"/>
    <col min="7427" max="7427" width="21.85546875" style="74" bestFit="1" customWidth="1"/>
    <col min="7428" max="7428" width="0" style="74" hidden="1" customWidth="1"/>
    <col min="7429" max="7429" width="21.42578125" style="74" customWidth="1"/>
    <col min="7430" max="7430" width="10" style="74" bestFit="1" customWidth="1"/>
    <col min="7431" max="7431" width="0" style="74" hidden="1" customWidth="1"/>
    <col min="7432" max="7680" width="9.140625" style="74"/>
    <col min="7681" max="7681" width="55.28515625" style="74" bestFit="1" customWidth="1"/>
    <col min="7682" max="7682" width="0" style="74" hidden="1" customWidth="1"/>
    <col min="7683" max="7683" width="21.85546875" style="74" bestFit="1" customWidth="1"/>
    <col min="7684" max="7684" width="0" style="74" hidden="1" customWidth="1"/>
    <col min="7685" max="7685" width="21.42578125" style="74" customWidth="1"/>
    <col min="7686" max="7686" width="10" style="74" bestFit="1" customWidth="1"/>
    <col min="7687" max="7687" width="0" style="74" hidden="1" customWidth="1"/>
    <col min="7688" max="7936" width="9.140625" style="74"/>
    <col min="7937" max="7937" width="55.28515625" style="74" bestFit="1" customWidth="1"/>
    <col min="7938" max="7938" width="0" style="74" hidden="1" customWidth="1"/>
    <col min="7939" max="7939" width="21.85546875" style="74" bestFit="1" customWidth="1"/>
    <col min="7940" max="7940" width="0" style="74" hidden="1" customWidth="1"/>
    <col min="7941" max="7941" width="21.42578125" style="74" customWidth="1"/>
    <col min="7942" max="7942" width="10" style="74" bestFit="1" customWidth="1"/>
    <col min="7943" max="7943" width="0" style="74" hidden="1" customWidth="1"/>
    <col min="7944" max="8192" width="9.140625" style="74"/>
    <col min="8193" max="8193" width="55.28515625" style="74" bestFit="1" customWidth="1"/>
    <col min="8194" max="8194" width="0" style="74" hidden="1" customWidth="1"/>
    <col min="8195" max="8195" width="21.85546875" style="74" bestFit="1" customWidth="1"/>
    <col min="8196" max="8196" width="0" style="74" hidden="1" customWidth="1"/>
    <col min="8197" max="8197" width="21.42578125" style="74" customWidth="1"/>
    <col min="8198" max="8198" width="10" style="74" bestFit="1" customWidth="1"/>
    <col min="8199" max="8199" width="0" style="74" hidden="1" customWidth="1"/>
    <col min="8200" max="8448" width="9.140625" style="74"/>
    <col min="8449" max="8449" width="55.28515625" style="74" bestFit="1" customWidth="1"/>
    <col min="8450" max="8450" width="0" style="74" hidden="1" customWidth="1"/>
    <col min="8451" max="8451" width="21.85546875" style="74" bestFit="1" customWidth="1"/>
    <col min="8452" max="8452" width="0" style="74" hidden="1" customWidth="1"/>
    <col min="8453" max="8453" width="21.42578125" style="74" customWidth="1"/>
    <col min="8454" max="8454" width="10" style="74" bestFit="1" customWidth="1"/>
    <col min="8455" max="8455" width="0" style="74" hidden="1" customWidth="1"/>
    <col min="8456" max="8704" width="9.140625" style="74"/>
    <col min="8705" max="8705" width="55.28515625" style="74" bestFit="1" customWidth="1"/>
    <col min="8706" max="8706" width="0" style="74" hidden="1" customWidth="1"/>
    <col min="8707" max="8707" width="21.85546875" style="74" bestFit="1" customWidth="1"/>
    <col min="8708" max="8708" width="0" style="74" hidden="1" customWidth="1"/>
    <col min="8709" max="8709" width="21.42578125" style="74" customWidth="1"/>
    <col min="8710" max="8710" width="10" style="74" bestFit="1" customWidth="1"/>
    <col min="8711" max="8711" width="0" style="74" hidden="1" customWidth="1"/>
    <col min="8712" max="8960" width="9.140625" style="74"/>
    <col min="8961" max="8961" width="55.28515625" style="74" bestFit="1" customWidth="1"/>
    <col min="8962" max="8962" width="0" style="74" hidden="1" customWidth="1"/>
    <col min="8963" max="8963" width="21.85546875" style="74" bestFit="1" customWidth="1"/>
    <col min="8964" max="8964" width="0" style="74" hidden="1" customWidth="1"/>
    <col min="8965" max="8965" width="21.42578125" style="74" customWidth="1"/>
    <col min="8966" max="8966" width="10" style="74" bestFit="1" customWidth="1"/>
    <col min="8967" max="8967" width="0" style="74" hidden="1" customWidth="1"/>
    <col min="8968" max="9216" width="9.140625" style="74"/>
    <col min="9217" max="9217" width="55.28515625" style="74" bestFit="1" customWidth="1"/>
    <col min="9218" max="9218" width="0" style="74" hidden="1" customWidth="1"/>
    <col min="9219" max="9219" width="21.85546875" style="74" bestFit="1" customWidth="1"/>
    <col min="9220" max="9220" width="0" style="74" hidden="1" customWidth="1"/>
    <col min="9221" max="9221" width="21.42578125" style="74" customWidth="1"/>
    <col min="9222" max="9222" width="10" style="74" bestFit="1" customWidth="1"/>
    <col min="9223" max="9223" width="0" style="74" hidden="1" customWidth="1"/>
    <col min="9224" max="9472" width="9.140625" style="74"/>
    <col min="9473" max="9473" width="55.28515625" style="74" bestFit="1" customWidth="1"/>
    <col min="9474" max="9474" width="0" style="74" hidden="1" customWidth="1"/>
    <col min="9475" max="9475" width="21.85546875" style="74" bestFit="1" customWidth="1"/>
    <col min="9476" max="9476" width="0" style="74" hidden="1" customWidth="1"/>
    <col min="9477" max="9477" width="21.42578125" style="74" customWidth="1"/>
    <col min="9478" max="9478" width="10" style="74" bestFit="1" customWidth="1"/>
    <col min="9479" max="9479" width="0" style="74" hidden="1" customWidth="1"/>
    <col min="9480" max="9728" width="9.140625" style="74"/>
    <col min="9729" max="9729" width="55.28515625" style="74" bestFit="1" customWidth="1"/>
    <col min="9730" max="9730" width="0" style="74" hidden="1" customWidth="1"/>
    <col min="9731" max="9731" width="21.85546875" style="74" bestFit="1" customWidth="1"/>
    <col min="9732" max="9732" width="0" style="74" hidden="1" customWidth="1"/>
    <col min="9733" max="9733" width="21.42578125" style="74" customWidth="1"/>
    <col min="9734" max="9734" width="10" style="74" bestFit="1" customWidth="1"/>
    <col min="9735" max="9735" width="0" style="74" hidden="1" customWidth="1"/>
    <col min="9736" max="9984" width="9.140625" style="74"/>
    <col min="9985" max="9985" width="55.28515625" style="74" bestFit="1" customWidth="1"/>
    <col min="9986" max="9986" width="0" style="74" hidden="1" customWidth="1"/>
    <col min="9987" max="9987" width="21.85546875" style="74" bestFit="1" customWidth="1"/>
    <col min="9988" max="9988" width="0" style="74" hidden="1" customWidth="1"/>
    <col min="9989" max="9989" width="21.42578125" style="74" customWidth="1"/>
    <col min="9990" max="9990" width="10" style="74" bestFit="1" customWidth="1"/>
    <col min="9991" max="9991" width="0" style="74" hidden="1" customWidth="1"/>
    <col min="9992" max="10240" width="9.140625" style="74"/>
    <col min="10241" max="10241" width="55.28515625" style="74" bestFit="1" customWidth="1"/>
    <col min="10242" max="10242" width="0" style="74" hidden="1" customWidth="1"/>
    <col min="10243" max="10243" width="21.85546875" style="74" bestFit="1" customWidth="1"/>
    <col min="10244" max="10244" width="0" style="74" hidden="1" customWidth="1"/>
    <col min="10245" max="10245" width="21.42578125" style="74" customWidth="1"/>
    <col min="10246" max="10246" width="10" style="74" bestFit="1" customWidth="1"/>
    <col min="10247" max="10247" width="0" style="74" hidden="1" customWidth="1"/>
    <col min="10248" max="10496" width="9.140625" style="74"/>
    <col min="10497" max="10497" width="55.28515625" style="74" bestFit="1" customWidth="1"/>
    <col min="10498" max="10498" width="0" style="74" hidden="1" customWidth="1"/>
    <col min="10499" max="10499" width="21.85546875" style="74" bestFit="1" customWidth="1"/>
    <col min="10500" max="10500" width="0" style="74" hidden="1" customWidth="1"/>
    <col min="10501" max="10501" width="21.42578125" style="74" customWidth="1"/>
    <col min="10502" max="10502" width="10" style="74" bestFit="1" customWidth="1"/>
    <col min="10503" max="10503" width="0" style="74" hidden="1" customWidth="1"/>
    <col min="10504" max="10752" width="9.140625" style="74"/>
    <col min="10753" max="10753" width="55.28515625" style="74" bestFit="1" customWidth="1"/>
    <col min="10754" max="10754" width="0" style="74" hidden="1" customWidth="1"/>
    <col min="10755" max="10755" width="21.85546875" style="74" bestFit="1" customWidth="1"/>
    <col min="10756" max="10756" width="0" style="74" hidden="1" customWidth="1"/>
    <col min="10757" max="10757" width="21.42578125" style="74" customWidth="1"/>
    <col min="10758" max="10758" width="10" style="74" bestFit="1" customWidth="1"/>
    <col min="10759" max="10759" width="0" style="74" hidden="1" customWidth="1"/>
    <col min="10760" max="11008" width="9.140625" style="74"/>
    <col min="11009" max="11009" width="55.28515625" style="74" bestFit="1" customWidth="1"/>
    <col min="11010" max="11010" width="0" style="74" hidden="1" customWidth="1"/>
    <col min="11011" max="11011" width="21.85546875" style="74" bestFit="1" customWidth="1"/>
    <col min="11012" max="11012" width="0" style="74" hidden="1" customWidth="1"/>
    <col min="11013" max="11013" width="21.42578125" style="74" customWidth="1"/>
    <col min="11014" max="11014" width="10" style="74" bestFit="1" customWidth="1"/>
    <col min="11015" max="11015" width="0" style="74" hidden="1" customWidth="1"/>
    <col min="11016" max="11264" width="9.140625" style="74"/>
    <col min="11265" max="11265" width="55.28515625" style="74" bestFit="1" customWidth="1"/>
    <col min="11266" max="11266" width="0" style="74" hidden="1" customWidth="1"/>
    <col min="11267" max="11267" width="21.85546875" style="74" bestFit="1" customWidth="1"/>
    <col min="11268" max="11268" width="0" style="74" hidden="1" customWidth="1"/>
    <col min="11269" max="11269" width="21.42578125" style="74" customWidth="1"/>
    <col min="11270" max="11270" width="10" style="74" bestFit="1" customWidth="1"/>
    <col min="11271" max="11271" width="0" style="74" hidden="1" customWidth="1"/>
    <col min="11272" max="11520" width="9.140625" style="74"/>
    <col min="11521" max="11521" width="55.28515625" style="74" bestFit="1" customWidth="1"/>
    <col min="11522" max="11522" width="0" style="74" hidden="1" customWidth="1"/>
    <col min="11523" max="11523" width="21.85546875" style="74" bestFit="1" customWidth="1"/>
    <col min="11524" max="11524" width="0" style="74" hidden="1" customWidth="1"/>
    <col min="11525" max="11525" width="21.42578125" style="74" customWidth="1"/>
    <col min="11526" max="11526" width="10" style="74" bestFit="1" customWidth="1"/>
    <col min="11527" max="11527" width="0" style="74" hidden="1" customWidth="1"/>
    <col min="11528" max="11776" width="9.140625" style="74"/>
    <col min="11777" max="11777" width="55.28515625" style="74" bestFit="1" customWidth="1"/>
    <col min="11778" max="11778" width="0" style="74" hidden="1" customWidth="1"/>
    <col min="11779" max="11779" width="21.85546875" style="74" bestFit="1" customWidth="1"/>
    <col min="11780" max="11780" width="0" style="74" hidden="1" customWidth="1"/>
    <col min="11781" max="11781" width="21.42578125" style="74" customWidth="1"/>
    <col min="11782" max="11782" width="10" style="74" bestFit="1" customWidth="1"/>
    <col min="11783" max="11783" width="0" style="74" hidden="1" customWidth="1"/>
    <col min="11784" max="12032" width="9.140625" style="74"/>
    <col min="12033" max="12033" width="55.28515625" style="74" bestFit="1" customWidth="1"/>
    <col min="12034" max="12034" width="0" style="74" hidden="1" customWidth="1"/>
    <col min="12035" max="12035" width="21.85546875" style="74" bestFit="1" customWidth="1"/>
    <col min="12036" max="12036" width="0" style="74" hidden="1" customWidth="1"/>
    <col min="12037" max="12037" width="21.42578125" style="74" customWidth="1"/>
    <col min="12038" max="12038" width="10" style="74" bestFit="1" customWidth="1"/>
    <col min="12039" max="12039" width="0" style="74" hidden="1" customWidth="1"/>
    <col min="12040" max="12288" width="9.140625" style="74"/>
    <col min="12289" max="12289" width="55.28515625" style="74" bestFit="1" customWidth="1"/>
    <col min="12290" max="12290" width="0" style="74" hidden="1" customWidth="1"/>
    <col min="12291" max="12291" width="21.85546875" style="74" bestFit="1" customWidth="1"/>
    <col min="12292" max="12292" width="0" style="74" hidden="1" customWidth="1"/>
    <col min="12293" max="12293" width="21.42578125" style="74" customWidth="1"/>
    <col min="12294" max="12294" width="10" style="74" bestFit="1" customWidth="1"/>
    <col min="12295" max="12295" width="0" style="74" hidden="1" customWidth="1"/>
    <col min="12296" max="12544" width="9.140625" style="74"/>
    <col min="12545" max="12545" width="55.28515625" style="74" bestFit="1" customWidth="1"/>
    <col min="12546" max="12546" width="0" style="74" hidden="1" customWidth="1"/>
    <col min="12547" max="12547" width="21.85546875" style="74" bestFit="1" customWidth="1"/>
    <col min="12548" max="12548" width="0" style="74" hidden="1" customWidth="1"/>
    <col min="12549" max="12549" width="21.42578125" style="74" customWidth="1"/>
    <col min="12550" max="12550" width="10" style="74" bestFit="1" customWidth="1"/>
    <col min="12551" max="12551" width="0" style="74" hidden="1" customWidth="1"/>
    <col min="12552" max="12800" width="9.140625" style="74"/>
    <col min="12801" max="12801" width="55.28515625" style="74" bestFit="1" customWidth="1"/>
    <col min="12802" max="12802" width="0" style="74" hidden="1" customWidth="1"/>
    <col min="12803" max="12803" width="21.85546875" style="74" bestFit="1" customWidth="1"/>
    <col min="12804" max="12804" width="0" style="74" hidden="1" customWidth="1"/>
    <col min="12805" max="12805" width="21.42578125" style="74" customWidth="1"/>
    <col min="12806" max="12806" width="10" style="74" bestFit="1" customWidth="1"/>
    <col min="12807" max="12807" width="0" style="74" hidden="1" customWidth="1"/>
    <col min="12808" max="13056" width="9.140625" style="74"/>
    <col min="13057" max="13057" width="55.28515625" style="74" bestFit="1" customWidth="1"/>
    <col min="13058" max="13058" width="0" style="74" hidden="1" customWidth="1"/>
    <col min="13059" max="13059" width="21.85546875" style="74" bestFit="1" customWidth="1"/>
    <col min="13060" max="13060" width="0" style="74" hidden="1" customWidth="1"/>
    <col min="13061" max="13061" width="21.42578125" style="74" customWidth="1"/>
    <col min="13062" max="13062" width="10" style="74" bestFit="1" customWidth="1"/>
    <col min="13063" max="13063" width="0" style="74" hidden="1" customWidth="1"/>
    <col min="13064" max="13312" width="9.140625" style="74"/>
    <col min="13313" max="13313" width="55.28515625" style="74" bestFit="1" customWidth="1"/>
    <col min="13314" max="13314" width="0" style="74" hidden="1" customWidth="1"/>
    <col min="13315" max="13315" width="21.85546875" style="74" bestFit="1" customWidth="1"/>
    <col min="13316" max="13316" width="0" style="74" hidden="1" customWidth="1"/>
    <col min="13317" max="13317" width="21.42578125" style="74" customWidth="1"/>
    <col min="13318" max="13318" width="10" style="74" bestFit="1" customWidth="1"/>
    <col min="13319" max="13319" width="0" style="74" hidden="1" customWidth="1"/>
    <col min="13320" max="13568" width="9.140625" style="74"/>
    <col min="13569" max="13569" width="55.28515625" style="74" bestFit="1" customWidth="1"/>
    <col min="13570" max="13570" width="0" style="74" hidden="1" customWidth="1"/>
    <col min="13571" max="13571" width="21.85546875" style="74" bestFit="1" customWidth="1"/>
    <col min="13572" max="13572" width="0" style="74" hidden="1" customWidth="1"/>
    <col min="13573" max="13573" width="21.42578125" style="74" customWidth="1"/>
    <col min="13574" max="13574" width="10" style="74" bestFit="1" customWidth="1"/>
    <col min="13575" max="13575" width="0" style="74" hidden="1" customWidth="1"/>
    <col min="13576" max="13824" width="9.140625" style="74"/>
    <col min="13825" max="13825" width="55.28515625" style="74" bestFit="1" customWidth="1"/>
    <col min="13826" max="13826" width="0" style="74" hidden="1" customWidth="1"/>
    <col min="13827" max="13827" width="21.85546875" style="74" bestFit="1" customWidth="1"/>
    <col min="13828" max="13828" width="0" style="74" hidden="1" customWidth="1"/>
    <col min="13829" max="13829" width="21.42578125" style="74" customWidth="1"/>
    <col min="13830" max="13830" width="10" style="74" bestFit="1" customWidth="1"/>
    <col min="13831" max="13831" width="0" style="74" hidden="1" customWidth="1"/>
    <col min="13832" max="14080" width="9.140625" style="74"/>
    <col min="14081" max="14081" width="55.28515625" style="74" bestFit="1" customWidth="1"/>
    <col min="14082" max="14082" width="0" style="74" hidden="1" customWidth="1"/>
    <col min="14083" max="14083" width="21.85546875" style="74" bestFit="1" customWidth="1"/>
    <col min="14084" max="14084" width="0" style="74" hidden="1" customWidth="1"/>
    <col min="14085" max="14085" width="21.42578125" style="74" customWidth="1"/>
    <col min="14086" max="14086" width="10" style="74" bestFit="1" customWidth="1"/>
    <col min="14087" max="14087" width="0" style="74" hidden="1" customWidth="1"/>
    <col min="14088" max="14336" width="9.140625" style="74"/>
    <col min="14337" max="14337" width="55.28515625" style="74" bestFit="1" customWidth="1"/>
    <col min="14338" max="14338" width="0" style="74" hidden="1" customWidth="1"/>
    <col min="14339" max="14339" width="21.85546875" style="74" bestFit="1" customWidth="1"/>
    <col min="14340" max="14340" width="0" style="74" hidden="1" customWidth="1"/>
    <col min="14341" max="14341" width="21.42578125" style="74" customWidth="1"/>
    <col min="14342" max="14342" width="10" style="74" bestFit="1" customWidth="1"/>
    <col min="14343" max="14343" width="0" style="74" hidden="1" customWidth="1"/>
    <col min="14344" max="14592" width="9.140625" style="74"/>
    <col min="14593" max="14593" width="55.28515625" style="74" bestFit="1" customWidth="1"/>
    <col min="14594" max="14594" width="0" style="74" hidden="1" customWidth="1"/>
    <col min="14595" max="14595" width="21.85546875" style="74" bestFit="1" customWidth="1"/>
    <col min="14596" max="14596" width="0" style="74" hidden="1" customWidth="1"/>
    <col min="14597" max="14597" width="21.42578125" style="74" customWidth="1"/>
    <col min="14598" max="14598" width="10" style="74" bestFit="1" customWidth="1"/>
    <col min="14599" max="14599" width="0" style="74" hidden="1" customWidth="1"/>
    <col min="14600" max="14848" width="9.140625" style="74"/>
    <col min="14849" max="14849" width="55.28515625" style="74" bestFit="1" customWidth="1"/>
    <col min="14850" max="14850" width="0" style="74" hidden="1" customWidth="1"/>
    <col min="14851" max="14851" width="21.85546875" style="74" bestFit="1" customWidth="1"/>
    <col min="14852" max="14852" width="0" style="74" hidden="1" customWidth="1"/>
    <col min="14853" max="14853" width="21.42578125" style="74" customWidth="1"/>
    <col min="14854" max="14854" width="10" style="74" bestFit="1" customWidth="1"/>
    <col min="14855" max="14855" width="0" style="74" hidden="1" customWidth="1"/>
    <col min="14856" max="15104" width="9.140625" style="74"/>
    <col min="15105" max="15105" width="55.28515625" style="74" bestFit="1" customWidth="1"/>
    <col min="15106" max="15106" width="0" style="74" hidden="1" customWidth="1"/>
    <col min="15107" max="15107" width="21.85546875" style="74" bestFit="1" customWidth="1"/>
    <col min="15108" max="15108" width="0" style="74" hidden="1" customWidth="1"/>
    <col min="15109" max="15109" width="21.42578125" style="74" customWidth="1"/>
    <col min="15110" max="15110" width="10" style="74" bestFit="1" customWidth="1"/>
    <col min="15111" max="15111" width="0" style="74" hidden="1" customWidth="1"/>
    <col min="15112" max="15360" width="9.140625" style="74"/>
    <col min="15361" max="15361" width="55.28515625" style="74" bestFit="1" customWidth="1"/>
    <col min="15362" max="15362" width="0" style="74" hidden="1" customWidth="1"/>
    <col min="15363" max="15363" width="21.85546875" style="74" bestFit="1" customWidth="1"/>
    <col min="15364" max="15364" width="0" style="74" hidden="1" customWidth="1"/>
    <col min="15365" max="15365" width="21.42578125" style="74" customWidth="1"/>
    <col min="15366" max="15366" width="10" style="74" bestFit="1" customWidth="1"/>
    <col min="15367" max="15367" width="0" style="74" hidden="1" customWidth="1"/>
    <col min="15368" max="15616" width="9.140625" style="74"/>
    <col min="15617" max="15617" width="55.28515625" style="74" bestFit="1" customWidth="1"/>
    <col min="15618" max="15618" width="0" style="74" hidden="1" customWidth="1"/>
    <col min="15619" max="15619" width="21.85546875" style="74" bestFit="1" customWidth="1"/>
    <col min="15620" max="15620" width="0" style="74" hidden="1" customWidth="1"/>
    <col min="15621" max="15621" width="21.42578125" style="74" customWidth="1"/>
    <col min="15622" max="15622" width="10" style="74" bestFit="1" customWidth="1"/>
    <col min="15623" max="15623" width="0" style="74" hidden="1" customWidth="1"/>
    <col min="15624" max="15872" width="9.140625" style="74"/>
    <col min="15873" max="15873" width="55.28515625" style="74" bestFit="1" customWidth="1"/>
    <col min="15874" max="15874" width="0" style="74" hidden="1" customWidth="1"/>
    <col min="15875" max="15875" width="21.85546875" style="74" bestFit="1" customWidth="1"/>
    <col min="15876" max="15876" width="0" style="74" hidden="1" customWidth="1"/>
    <col min="15877" max="15877" width="21.42578125" style="74" customWidth="1"/>
    <col min="15878" max="15878" width="10" style="74" bestFit="1" customWidth="1"/>
    <col min="15879" max="15879" width="0" style="74" hidden="1" customWidth="1"/>
    <col min="15880" max="16128" width="9.140625" style="74"/>
    <col min="16129" max="16129" width="55.28515625" style="74" bestFit="1" customWidth="1"/>
    <col min="16130" max="16130" width="0" style="74" hidden="1" customWidth="1"/>
    <col min="16131" max="16131" width="21.85546875" style="74" bestFit="1" customWidth="1"/>
    <col min="16132" max="16132" width="0" style="74" hidden="1" customWidth="1"/>
    <col min="16133" max="16133" width="21.42578125" style="74" customWidth="1"/>
    <col min="16134" max="16134" width="10" style="74" bestFit="1" customWidth="1"/>
    <col min="16135" max="16135" width="0" style="74" hidden="1" customWidth="1"/>
    <col min="16136" max="16383" width="9.140625" style="74"/>
    <col min="16384" max="16384" width="9.140625" style="74" customWidth="1"/>
  </cols>
  <sheetData>
    <row r="1" spans="1:9" ht="15.75" customHeight="1" x14ac:dyDescent="0.25">
      <c r="A1" s="544" t="s">
        <v>0</v>
      </c>
      <c r="B1" s="544"/>
      <c r="C1" s="544"/>
      <c r="D1" s="544"/>
      <c r="E1" s="544"/>
      <c r="F1" s="544"/>
      <c r="G1" s="544"/>
      <c r="H1" s="544"/>
      <c r="I1" s="544"/>
    </row>
    <row r="2" spans="1:9" ht="15.75" customHeight="1" x14ac:dyDescent="0.25">
      <c r="A2" s="545" t="s">
        <v>281</v>
      </c>
      <c r="B2" s="545"/>
      <c r="C2" s="545"/>
      <c r="D2" s="545"/>
      <c r="E2" s="545"/>
      <c r="F2" s="545"/>
      <c r="G2" s="545"/>
      <c r="H2" s="545"/>
      <c r="I2" s="545"/>
    </row>
    <row r="3" spans="1:9" ht="15.75" customHeight="1" x14ac:dyDescent="0.25">
      <c r="A3" s="545"/>
      <c r="B3" s="545"/>
      <c r="C3" s="545"/>
      <c r="D3" s="545"/>
      <c r="E3" s="545"/>
      <c r="F3" s="545"/>
      <c r="G3" s="545"/>
      <c r="H3" s="545"/>
      <c r="I3" s="545"/>
    </row>
    <row r="4" spans="1:9" ht="36.75" customHeight="1" x14ac:dyDescent="0.25">
      <c r="A4" s="544" t="s">
        <v>376</v>
      </c>
      <c r="B4" s="544"/>
      <c r="C4" s="544"/>
      <c r="D4" s="544"/>
      <c r="E4" s="544"/>
      <c r="F4" s="544"/>
      <c r="G4" s="544"/>
      <c r="H4" s="544"/>
      <c r="I4" s="544"/>
    </row>
    <row r="5" spans="1:9" x14ac:dyDescent="0.25">
      <c r="B5" s="546"/>
      <c r="C5" s="546"/>
      <c r="D5" s="546"/>
      <c r="E5" s="546"/>
      <c r="F5" s="546"/>
      <c r="G5" s="546"/>
      <c r="H5" s="546"/>
      <c r="I5" s="546"/>
    </row>
    <row r="6" spans="1:9" hidden="1" x14ac:dyDescent="0.25">
      <c r="A6" s="76"/>
      <c r="B6" s="77"/>
      <c r="C6" s="77"/>
      <c r="D6" s="77"/>
      <c r="E6" s="77"/>
      <c r="F6" s="77"/>
      <c r="G6" s="78"/>
      <c r="H6" s="77"/>
      <c r="I6" s="77"/>
    </row>
    <row r="7" spans="1:9" hidden="1" x14ac:dyDescent="0.25">
      <c r="A7" s="547" t="s">
        <v>2</v>
      </c>
      <c r="B7" s="548"/>
      <c r="C7" s="548"/>
      <c r="D7" s="548"/>
      <c r="E7" s="548"/>
      <c r="F7" s="548"/>
      <c r="G7" s="548"/>
      <c r="H7" s="548"/>
      <c r="I7" s="548"/>
    </row>
    <row r="8" spans="1:9" ht="63" hidden="1" x14ac:dyDescent="0.25">
      <c r="A8" s="29" t="s">
        <v>3</v>
      </c>
      <c r="B8" s="29" t="s">
        <v>4</v>
      </c>
      <c r="C8" s="34" t="s">
        <v>6</v>
      </c>
      <c r="D8" s="34"/>
      <c r="E8" s="34"/>
      <c r="F8" s="34"/>
      <c r="G8" s="29" t="s">
        <v>282</v>
      </c>
      <c r="H8" s="30" t="s">
        <v>283</v>
      </c>
      <c r="I8" s="30" t="s">
        <v>284</v>
      </c>
    </row>
    <row r="9" spans="1:9" hidden="1" x14ac:dyDescent="0.25">
      <c r="A9" s="549">
        <v>1</v>
      </c>
      <c r="B9" s="550"/>
      <c r="C9" s="551"/>
      <c r="D9" s="79"/>
      <c r="E9" s="79"/>
      <c r="F9" s="79"/>
      <c r="G9" s="72">
        <v>2</v>
      </c>
      <c r="H9" s="73">
        <v>3</v>
      </c>
      <c r="I9" s="73">
        <v>4</v>
      </c>
    </row>
    <row r="10" spans="1:9" hidden="1" x14ac:dyDescent="0.25">
      <c r="A10" s="35">
        <v>6</v>
      </c>
      <c r="B10" s="36"/>
      <c r="C10" s="35"/>
      <c r="D10" s="35"/>
      <c r="E10" s="35"/>
      <c r="F10" s="35"/>
      <c r="G10" s="37">
        <f>G11+G26+G30+G33+G40+G43</f>
        <v>24659145.79600504</v>
      </c>
      <c r="H10" s="37">
        <f>H11+H26+H30+H33+H40+H43</f>
        <v>63888652.490000002</v>
      </c>
      <c r="I10" s="37">
        <f>I11+I26+I30+I33+I40+I43</f>
        <v>30834918.75</v>
      </c>
    </row>
    <row r="11" spans="1:9" hidden="1" x14ac:dyDescent="0.25">
      <c r="A11" s="38"/>
      <c r="B11" s="39">
        <v>63</v>
      </c>
      <c r="C11" s="40" t="s">
        <v>41</v>
      </c>
      <c r="D11" s="40"/>
      <c r="E11" s="40"/>
      <c r="F11" s="40"/>
      <c r="G11" s="41">
        <f>G12+G14+G17+G19+G21+G24</f>
        <v>324811.46725064697</v>
      </c>
      <c r="H11" s="41">
        <f>SUM(H12,H14,H17,H19,H21,H24)</f>
        <v>639378.8600000001</v>
      </c>
      <c r="I11" s="41">
        <f>SUM(I12,I14,I17,I19,I21,I24)</f>
        <v>1892796.77</v>
      </c>
    </row>
    <row r="12" spans="1:9" hidden="1" x14ac:dyDescent="0.25">
      <c r="A12" s="38"/>
      <c r="B12" s="44">
        <v>632</v>
      </c>
      <c r="C12" s="45" t="s">
        <v>236</v>
      </c>
      <c r="D12" s="45"/>
      <c r="E12" s="45"/>
      <c r="F12" s="45"/>
      <c r="G12" s="46">
        <f>SUM(G13)</f>
        <v>0</v>
      </c>
      <c r="H12" s="46">
        <f>SUM(H13)</f>
        <v>0</v>
      </c>
      <c r="I12" s="46">
        <f>SUM(I13)</f>
        <v>0</v>
      </c>
    </row>
    <row r="13" spans="1:9" hidden="1" x14ac:dyDescent="0.25">
      <c r="A13" s="38"/>
      <c r="B13" s="47">
        <v>6324</v>
      </c>
      <c r="C13" s="48" t="s">
        <v>237</v>
      </c>
      <c r="D13" s="48"/>
      <c r="E13" s="48"/>
      <c r="F13" s="48"/>
      <c r="G13" s="80">
        <v>0</v>
      </c>
      <c r="H13" s="81">
        <v>0</v>
      </c>
      <c r="I13" s="81">
        <v>0</v>
      </c>
    </row>
    <row r="14" spans="1:9" hidden="1" x14ac:dyDescent="0.25">
      <c r="A14" s="38"/>
      <c r="B14" s="44">
        <v>633</v>
      </c>
      <c r="C14" s="50" t="s">
        <v>238</v>
      </c>
      <c r="D14" s="50"/>
      <c r="E14" s="50"/>
      <c r="F14" s="50"/>
      <c r="G14" s="46">
        <f>SUM(G15:G16)</f>
        <v>50556.108567257281</v>
      </c>
      <c r="H14" s="46">
        <f>SUM(H15:H16)</f>
        <v>0</v>
      </c>
      <c r="I14" s="46">
        <f>SUM(I15:I16)</f>
        <v>0</v>
      </c>
    </row>
    <row r="15" spans="1:9" hidden="1" x14ac:dyDescent="0.25">
      <c r="A15" s="38"/>
      <c r="B15" s="54">
        <v>6331</v>
      </c>
      <c r="C15" s="82" t="s">
        <v>240</v>
      </c>
      <c r="D15" s="82"/>
      <c r="E15" s="82"/>
      <c r="F15" s="82"/>
      <c r="G15" s="80">
        <f>380915/7.5345</f>
        <v>50556.108567257281</v>
      </c>
      <c r="H15" s="81">
        <v>0</v>
      </c>
      <c r="I15" s="81">
        <v>0</v>
      </c>
    </row>
    <row r="16" spans="1:9" hidden="1" x14ac:dyDescent="0.25">
      <c r="A16" s="38"/>
      <c r="B16" s="54">
        <v>6332</v>
      </c>
      <c r="C16" s="82" t="s">
        <v>242</v>
      </c>
      <c r="D16" s="82"/>
      <c r="E16" s="82"/>
      <c r="F16" s="82"/>
      <c r="G16" s="80">
        <v>0</v>
      </c>
      <c r="H16" s="80">
        <v>0</v>
      </c>
      <c r="I16" s="80">
        <v>0</v>
      </c>
    </row>
    <row r="17" spans="1:9" hidden="1" x14ac:dyDescent="0.25">
      <c r="A17" s="38"/>
      <c r="B17" s="38">
        <v>634</v>
      </c>
      <c r="C17" s="83" t="s">
        <v>24</v>
      </c>
      <c r="D17" s="83"/>
      <c r="E17" s="83"/>
      <c r="F17" s="83"/>
      <c r="G17" s="84">
        <f>SUM(G18)</f>
        <v>111981.9496980556</v>
      </c>
      <c r="H17" s="84">
        <f>SUM(H18)</f>
        <v>366500.76</v>
      </c>
      <c r="I17" s="84">
        <f>SUM(I18)</f>
        <v>1829292.75</v>
      </c>
    </row>
    <row r="18" spans="1:9" hidden="1" x14ac:dyDescent="0.25">
      <c r="A18" s="38"/>
      <c r="B18" s="54">
        <v>6341</v>
      </c>
      <c r="C18" s="82" t="s">
        <v>26</v>
      </c>
      <c r="D18" s="82"/>
      <c r="E18" s="82"/>
      <c r="F18" s="82"/>
      <c r="G18" s="80">
        <f>843728/7.5345</f>
        <v>111981.9496980556</v>
      </c>
      <c r="H18" s="80">
        <v>366500.76</v>
      </c>
      <c r="I18" s="80">
        <v>1829292.75</v>
      </c>
    </row>
    <row r="19" spans="1:9" ht="17.25" hidden="1" customHeight="1" x14ac:dyDescent="0.25">
      <c r="A19" s="38"/>
      <c r="B19" s="38">
        <v>636</v>
      </c>
      <c r="C19" s="56" t="s">
        <v>244</v>
      </c>
      <c r="D19" s="56"/>
      <c r="E19" s="56"/>
      <c r="F19" s="56"/>
      <c r="G19" s="84">
        <f>SUM(G20)</f>
        <v>54857.12389674165</v>
      </c>
      <c r="H19" s="84">
        <f>SUM(H20)</f>
        <v>796.34</v>
      </c>
      <c r="I19" s="84">
        <f>SUM(I20)</f>
        <v>45490.31</v>
      </c>
    </row>
    <row r="20" spans="1:9" hidden="1" x14ac:dyDescent="0.25">
      <c r="A20" s="38"/>
      <c r="B20" s="54">
        <v>6361</v>
      </c>
      <c r="C20" s="85" t="s">
        <v>245</v>
      </c>
      <c r="D20" s="85"/>
      <c r="E20" s="85"/>
      <c r="F20" s="85"/>
      <c r="G20" s="80">
        <f>413321/7.5345</f>
        <v>54857.12389674165</v>
      </c>
      <c r="H20" s="80">
        <f>796.34</f>
        <v>796.34</v>
      </c>
      <c r="I20" s="80">
        <v>45490.31</v>
      </c>
    </row>
    <row r="21" spans="1:9" hidden="1" x14ac:dyDescent="0.25">
      <c r="A21" s="38"/>
      <c r="B21" s="38">
        <v>638</v>
      </c>
      <c r="C21" s="86" t="s">
        <v>246</v>
      </c>
      <c r="D21" s="86"/>
      <c r="E21" s="86"/>
      <c r="F21" s="86"/>
      <c r="G21" s="84">
        <f>SUM(G22:G23)</f>
        <v>107244.80722012077</v>
      </c>
      <c r="H21" s="84">
        <f>SUM(H23)</f>
        <v>272081.76</v>
      </c>
      <c r="I21" s="84">
        <f>SUM(I23)</f>
        <v>18013.71</v>
      </c>
    </row>
    <row r="22" spans="1:9" hidden="1" x14ac:dyDescent="0.25">
      <c r="A22" s="54"/>
      <c r="B22" s="54">
        <v>6381</v>
      </c>
      <c r="C22" s="85" t="s">
        <v>34</v>
      </c>
      <c r="D22" s="85"/>
      <c r="E22" s="85"/>
      <c r="F22" s="85"/>
      <c r="G22" s="80">
        <f>493624/7.5345</f>
        <v>65515.163580861365</v>
      </c>
      <c r="H22" s="80">
        <v>0</v>
      </c>
      <c r="I22" s="80">
        <v>0</v>
      </c>
    </row>
    <row r="23" spans="1:9" hidden="1" x14ac:dyDescent="0.25">
      <c r="A23" s="38"/>
      <c r="B23" s="54">
        <v>6382</v>
      </c>
      <c r="C23" s="85" t="s">
        <v>247</v>
      </c>
      <c r="D23" s="85"/>
      <c r="E23" s="85"/>
      <c r="F23" s="85"/>
      <c r="G23" s="80">
        <f>314412/7.5345</f>
        <v>41729.643639259404</v>
      </c>
      <c r="H23" s="80">
        <v>272081.76</v>
      </c>
      <c r="I23" s="80">
        <v>18013.71</v>
      </c>
    </row>
    <row r="24" spans="1:9" hidden="1" x14ac:dyDescent="0.25">
      <c r="A24" s="38"/>
      <c r="B24" s="38">
        <v>639</v>
      </c>
      <c r="C24" s="86" t="s">
        <v>248</v>
      </c>
      <c r="D24" s="86"/>
      <c r="E24" s="86"/>
      <c r="F24" s="86"/>
      <c r="G24" s="84">
        <f>SUM(G25)</f>
        <v>171.47786847169687</v>
      </c>
      <c r="H24" s="84">
        <f>SUM(H25)</f>
        <v>0</v>
      </c>
      <c r="I24" s="84">
        <f>SUM(I25)</f>
        <v>0</v>
      </c>
    </row>
    <row r="25" spans="1:9" hidden="1" x14ac:dyDescent="0.25">
      <c r="A25" s="38"/>
      <c r="B25" s="54">
        <v>6391</v>
      </c>
      <c r="C25" s="85" t="s">
        <v>249</v>
      </c>
      <c r="D25" s="85"/>
      <c r="E25" s="85"/>
      <c r="F25" s="85"/>
      <c r="G25" s="80">
        <f>1292/7.5345</f>
        <v>171.47786847169687</v>
      </c>
      <c r="H25" s="80">
        <v>0</v>
      </c>
      <c r="I25" s="80">
        <v>0</v>
      </c>
    </row>
    <row r="26" spans="1:9" hidden="1" x14ac:dyDescent="0.25">
      <c r="A26" s="38"/>
      <c r="B26" s="58">
        <v>64</v>
      </c>
      <c r="C26" s="87" t="s">
        <v>42</v>
      </c>
      <c r="D26" s="87"/>
      <c r="E26" s="87"/>
      <c r="F26" s="87"/>
      <c r="G26" s="88">
        <f>SUM(G27:G29)</f>
        <v>50144.535138363528</v>
      </c>
      <c r="H26" s="88">
        <f>SUM(H27:H29)</f>
        <v>120462.42</v>
      </c>
      <c r="I26" s="88">
        <f>SUM(I27:I29)</f>
        <v>55180.92</v>
      </c>
    </row>
    <row r="27" spans="1:9" hidden="1" x14ac:dyDescent="0.25">
      <c r="A27" s="38"/>
      <c r="B27" s="54">
        <v>6413</v>
      </c>
      <c r="C27" s="82" t="s">
        <v>250</v>
      </c>
      <c r="D27" s="82"/>
      <c r="E27" s="82"/>
      <c r="F27" s="82"/>
      <c r="G27" s="80">
        <f>439/7.5345</f>
        <v>58.265312894020838</v>
      </c>
      <c r="H27" s="80">
        <v>746.44</v>
      </c>
      <c r="I27" s="80">
        <v>204.07</v>
      </c>
    </row>
    <row r="28" spans="1:9" hidden="1" x14ac:dyDescent="0.25">
      <c r="A28" s="38"/>
      <c r="B28" s="54">
        <v>6419</v>
      </c>
      <c r="C28" s="82" t="s">
        <v>251</v>
      </c>
      <c r="D28" s="82"/>
      <c r="E28" s="82"/>
      <c r="F28" s="82"/>
      <c r="G28" s="80">
        <f>376342/7.5345</f>
        <v>49949.167164377199</v>
      </c>
      <c r="H28" s="80">
        <v>119450.53</v>
      </c>
      <c r="I28" s="80">
        <v>54839.75</v>
      </c>
    </row>
    <row r="29" spans="1:9" hidden="1" x14ac:dyDescent="0.25">
      <c r="A29" s="38"/>
      <c r="B29" s="54">
        <v>6429</v>
      </c>
      <c r="C29" s="82" t="s">
        <v>58</v>
      </c>
      <c r="D29" s="82"/>
      <c r="E29" s="82"/>
      <c r="F29" s="82"/>
      <c r="G29" s="80">
        <f>1033/7.5345</f>
        <v>137.10266109230869</v>
      </c>
      <c r="H29" s="80">
        <f>265.45</f>
        <v>265.45</v>
      </c>
      <c r="I29" s="80">
        <v>137.1</v>
      </c>
    </row>
    <row r="30" spans="1:9" hidden="1" x14ac:dyDescent="0.25">
      <c r="A30" s="38"/>
      <c r="B30" s="58">
        <v>65</v>
      </c>
      <c r="C30" s="87" t="s">
        <v>46</v>
      </c>
      <c r="D30" s="87"/>
      <c r="E30" s="87"/>
      <c r="F30" s="87"/>
      <c r="G30" s="88">
        <f>G31</f>
        <v>1523828.3894087197</v>
      </c>
      <c r="H30" s="88">
        <f>SUM(H31)</f>
        <v>6950029.8600000003</v>
      </c>
      <c r="I30" s="88">
        <f>SUM(I31)</f>
        <v>1963072.34</v>
      </c>
    </row>
    <row r="31" spans="1:9" hidden="1" x14ac:dyDescent="0.25">
      <c r="A31" s="38"/>
      <c r="B31" s="38">
        <v>652</v>
      </c>
      <c r="C31" s="83" t="s">
        <v>46</v>
      </c>
      <c r="D31" s="83"/>
      <c r="E31" s="83"/>
      <c r="F31" s="83"/>
      <c r="G31" s="84">
        <f>SUM(G32)</f>
        <v>1523828.3894087197</v>
      </c>
      <c r="H31" s="84">
        <f>SUM(H32)</f>
        <v>6950029.8600000003</v>
      </c>
      <c r="I31" s="84">
        <f>SUM(I32)</f>
        <v>1963072.34</v>
      </c>
    </row>
    <row r="32" spans="1:9" hidden="1" x14ac:dyDescent="0.25">
      <c r="A32" s="38"/>
      <c r="B32" s="54">
        <v>6526</v>
      </c>
      <c r="C32" s="82" t="s">
        <v>47</v>
      </c>
      <c r="D32" s="82"/>
      <c r="E32" s="82"/>
      <c r="F32" s="82"/>
      <c r="G32" s="80">
        <f>11481285/7.5345</f>
        <v>1523828.3894087197</v>
      </c>
      <c r="H32" s="80">
        <f>6950029.86</f>
        <v>6950029.8600000003</v>
      </c>
      <c r="I32" s="80">
        <v>1963072.34</v>
      </c>
    </row>
    <row r="33" spans="1:9" hidden="1" x14ac:dyDescent="0.25">
      <c r="A33" s="38"/>
      <c r="B33" s="58">
        <v>66</v>
      </c>
      <c r="C33" s="87" t="s">
        <v>252</v>
      </c>
      <c r="D33" s="87"/>
      <c r="E33" s="87"/>
      <c r="F33" s="87"/>
      <c r="G33" s="88">
        <f>G34+G37</f>
        <v>1701559.2275532549</v>
      </c>
      <c r="H33" s="88">
        <f>SUM(H34,H37)</f>
        <v>3641484.8899999997</v>
      </c>
      <c r="I33" s="88">
        <f>SUM(I34,I37)</f>
        <v>1739052.02</v>
      </c>
    </row>
    <row r="34" spans="1:9" hidden="1" x14ac:dyDescent="0.25">
      <c r="A34" s="38"/>
      <c r="B34" s="38">
        <v>661</v>
      </c>
      <c r="C34" s="86" t="s">
        <v>253</v>
      </c>
      <c r="D34" s="86"/>
      <c r="E34" s="86"/>
      <c r="F34" s="86"/>
      <c r="G34" s="84">
        <f>SUM(G35:G36)</f>
        <v>1677912.004778021</v>
      </c>
      <c r="H34" s="84">
        <f>SUM(H36,H35)</f>
        <v>3521370.76</v>
      </c>
      <c r="I34" s="84">
        <f>SUM(I36,I35)</f>
        <v>1704828.02</v>
      </c>
    </row>
    <row r="35" spans="1:9" hidden="1" x14ac:dyDescent="0.25">
      <c r="A35" s="54"/>
      <c r="B35" s="54">
        <v>6614</v>
      </c>
      <c r="C35" s="85" t="s">
        <v>254</v>
      </c>
      <c r="D35" s="85"/>
      <c r="E35" s="85"/>
      <c r="F35" s="85"/>
      <c r="G35" s="80">
        <f>6216809/7.5345</f>
        <v>825112.34985732299</v>
      </c>
      <c r="H35" s="80">
        <v>1725396.51</v>
      </c>
      <c r="I35" s="80">
        <v>916985.05</v>
      </c>
    </row>
    <row r="36" spans="1:9" hidden="1" x14ac:dyDescent="0.25">
      <c r="A36" s="38"/>
      <c r="B36" s="54">
        <v>6615</v>
      </c>
      <c r="C36" s="82" t="s">
        <v>65</v>
      </c>
      <c r="D36" s="82"/>
      <c r="E36" s="82"/>
      <c r="F36" s="82"/>
      <c r="G36" s="80">
        <f>6425419/7.5345</f>
        <v>852799.65492069803</v>
      </c>
      <c r="H36" s="80">
        <v>1795974.25</v>
      </c>
      <c r="I36" s="80">
        <v>787842.97</v>
      </c>
    </row>
    <row r="37" spans="1:9" hidden="1" x14ac:dyDescent="0.25">
      <c r="A37" s="38"/>
      <c r="B37" s="38">
        <v>663</v>
      </c>
      <c r="C37" s="83" t="s">
        <v>255</v>
      </c>
      <c r="D37" s="83"/>
      <c r="E37" s="83"/>
      <c r="F37" s="83"/>
      <c r="G37" s="84">
        <f>SUM(G38:G39)</f>
        <v>23647.222775233924</v>
      </c>
      <c r="H37" s="84">
        <f>SUM(H38:H39)</f>
        <v>120114.13</v>
      </c>
      <c r="I37" s="84">
        <f>SUM(I38:I39)</f>
        <v>34224</v>
      </c>
    </row>
    <row r="38" spans="1:9" hidden="1" x14ac:dyDescent="0.25">
      <c r="A38" s="38"/>
      <c r="B38" s="54">
        <v>6631</v>
      </c>
      <c r="C38" s="82" t="s">
        <v>69</v>
      </c>
      <c r="D38" s="82"/>
      <c r="E38" s="82"/>
      <c r="F38" s="82"/>
      <c r="G38" s="80">
        <f>5000/7.5345</f>
        <v>663.61404207313024</v>
      </c>
      <c r="H38" s="80">
        <v>53752.73</v>
      </c>
      <c r="I38" s="80">
        <f>5600+1310</f>
        <v>6910</v>
      </c>
    </row>
    <row r="39" spans="1:9" hidden="1" x14ac:dyDescent="0.25">
      <c r="A39" s="38"/>
      <c r="B39" s="54">
        <v>6632</v>
      </c>
      <c r="C39" s="82" t="s">
        <v>71</v>
      </c>
      <c r="D39" s="82"/>
      <c r="E39" s="82"/>
      <c r="F39" s="82"/>
      <c r="G39" s="80">
        <f>173170/7.5345</f>
        <v>22983.608733160792</v>
      </c>
      <c r="H39" s="80">
        <v>66361.399999999994</v>
      </c>
      <c r="I39" s="80">
        <v>27314</v>
      </c>
    </row>
    <row r="40" spans="1:9" s="89" customFormat="1" hidden="1" x14ac:dyDescent="0.25">
      <c r="A40" s="38"/>
      <c r="B40" s="58">
        <v>67</v>
      </c>
      <c r="C40" s="87" t="s">
        <v>256</v>
      </c>
      <c r="D40" s="87"/>
      <c r="E40" s="87"/>
      <c r="F40" s="87"/>
      <c r="G40" s="88">
        <f t="shared" ref="G40:I41" si="0">SUM(G41)</f>
        <v>20985599.575287011</v>
      </c>
      <c r="H40" s="88">
        <f t="shared" si="0"/>
        <v>52367289.020000003</v>
      </c>
      <c r="I40" s="88">
        <f t="shared" si="0"/>
        <v>24656056.140000001</v>
      </c>
    </row>
    <row r="41" spans="1:9" hidden="1" x14ac:dyDescent="0.25">
      <c r="A41" s="38"/>
      <c r="B41" s="38">
        <v>673</v>
      </c>
      <c r="C41" s="83" t="s">
        <v>257</v>
      </c>
      <c r="D41" s="83"/>
      <c r="E41" s="83"/>
      <c r="F41" s="83"/>
      <c r="G41" s="84">
        <f t="shared" si="0"/>
        <v>20985599.575287011</v>
      </c>
      <c r="H41" s="84">
        <f t="shared" si="0"/>
        <v>52367289.020000003</v>
      </c>
      <c r="I41" s="84">
        <f t="shared" si="0"/>
        <v>24656056.140000001</v>
      </c>
    </row>
    <row r="42" spans="1:9" hidden="1" x14ac:dyDescent="0.25">
      <c r="A42" s="38"/>
      <c r="B42" s="54">
        <v>6731</v>
      </c>
      <c r="C42" s="82" t="s">
        <v>49</v>
      </c>
      <c r="D42" s="82"/>
      <c r="E42" s="82"/>
      <c r="F42" s="82"/>
      <c r="G42" s="80">
        <f>158116000/7.5345</f>
        <v>20985599.575287011</v>
      </c>
      <c r="H42" s="80">
        <v>52367289.020000003</v>
      </c>
      <c r="I42" s="80">
        <v>24656056.140000001</v>
      </c>
    </row>
    <row r="43" spans="1:9" hidden="1" x14ac:dyDescent="0.25">
      <c r="A43" s="38"/>
      <c r="B43" s="58">
        <v>68</v>
      </c>
      <c r="C43" s="66" t="s">
        <v>52</v>
      </c>
      <c r="D43" s="66"/>
      <c r="E43" s="66"/>
      <c r="F43" s="66"/>
      <c r="G43" s="88">
        <f t="shared" ref="G43:I44" si="1">SUM(G44)</f>
        <v>73202.601367044917</v>
      </c>
      <c r="H43" s="88">
        <f t="shared" si="1"/>
        <v>170007.44</v>
      </c>
      <c r="I43" s="88">
        <f t="shared" si="1"/>
        <v>528760.56000000006</v>
      </c>
    </row>
    <row r="44" spans="1:9" hidden="1" x14ac:dyDescent="0.25">
      <c r="A44" s="38"/>
      <c r="B44" s="38">
        <v>683</v>
      </c>
      <c r="C44" s="83" t="s">
        <v>54</v>
      </c>
      <c r="D44" s="83"/>
      <c r="E44" s="83"/>
      <c r="F44" s="83"/>
      <c r="G44" s="84">
        <f t="shared" si="1"/>
        <v>73202.601367044917</v>
      </c>
      <c r="H44" s="84">
        <f t="shared" si="1"/>
        <v>170007.44</v>
      </c>
      <c r="I44" s="84">
        <f t="shared" si="1"/>
        <v>528760.56000000006</v>
      </c>
    </row>
    <row r="45" spans="1:9" hidden="1" x14ac:dyDescent="0.25">
      <c r="A45" s="38"/>
      <c r="B45" s="54">
        <v>6831</v>
      </c>
      <c r="C45" s="82" t="s">
        <v>54</v>
      </c>
      <c r="D45" s="82"/>
      <c r="E45" s="82"/>
      <c r="F45" s="82"/>
      <c r="G45" s="80">
        <f>551545/7.5345</f>
        <v>73202.601367044917</v>
      </c>
      <c r="H45" s="80">
        <v>170007.44</v>
      </c>
      <c r="I45" s="80">
        <v>528760.56000000006</v>
      </c>
    </row>
    <row r="46" spans="1:9" hidden="1" x14ac:dyDescent="0.25">
      <c r="A46" s="35">
        <v>7</v>
      </c>
      <c r="B46" s="35"/>
      <c r="C46" s="67" t="s">
        <v>75</v>
      </c>
      <c r="D46" s="67"/>
      <c r="E46" s="67"/>
      <c r="F46" s="67"/>
      <c r="G46" s="90">
        <f>G48</f>
        <v>206.78213550998737</v>
      </c>
      <c r="H46" s="90">
        <f>SUM(H47)</f>
        <v>7432.4800000000005</v>
      </c>
      <c r="I46" s="90">
        <f>SUM(I47)</f>
        <v>18031</v>
      </c>
    </row>
    <row r="47" spans="1:9" hidden="1" x14ac:dyDescent="0.25">
      <c r="A47" s="38"/>
      <c r="B47" s="58">
        <v>72</v>
      </c>
      <c r="C47" s="69" t="s">
        <v>76</v>
      </c>
      <c r="D47" s="69"/>
      <c r="E47" s="69"/>
      <c r="F47" s="69"/>
      <c r="G47" s="88">
        <f>SUM(G48)</f>
        <v>206.78213550998737</v>
      </c>
      <c r="H47" s="88">
        <f>SUM(H48)</f>
        <v>7432.4800000000005</v>
      </c>
      <c r="I47" s="88">
        <f>SUM(I48)</f>
        <v>18031</v>
      </c>
    </row>
    <row r="48" spans="1:9" hidden="1" x14ac:dyDescent="0.25">
      <c r="A48" s="38"/>
      <c r="B48" s="38">
        <v>721</v>
      </c>
      <c r="C48" s="83" t="s">
        <v>77</v>
      </c>
      <c r="D48" s="83"/>
      <c r="E48" s="83"/>
      <c r="F48" s="83"/>
      <c r="G48" s="84">
        <f>SUM(G49)</f>
        <v>206.78213550998737</v>
      </c>
      <c r="H48" s="84">
        <f>SUM(H49,H50)</f>
        <v>7432.4800000000005</v>
      </c>
      <c r="I48" s="84">
        <f>SUM(I49,I50)</f>
        <v>18031</v>
      </c>
    </row>
    <row r="49" spans="1:9" hidden="1" x14ac:dyDescent="0.25">
      <c r="A49" s="38"/>
      <c r="B49" s="54">
        <v>7211</v>
      </c>
      <c r="C49" s="82" t="s">
        <v>78</v>
      </c>
      <c r="D49" s="82"/>
      <c r="E49" s="82"/>
      <c r="F49" s="82"/>
      <c r="G49" s="80">
        <f>1558/7.5345</f>
        <v>206.78213550998737</v>
      </c>
      <c r="H49" s="80">
        <v>796.34</v>
      </c>
      <c r="I49" s="80">
        <v>18031</v>
      </c>
    </row>
    <row r="50" spans="1:9" hidden="1" x14ac:dyDescent="0.25">
      <c r="A50" s="38"/>
      <c r="B50" s="54">
        <v>7231</v>
      </c>
      <c r="C50" s="82" t="s">
        <v>80</v>
      </c>
      <c r="D50" s="82"/>
      <c r="E50" s="82"/>
      <c r="F50" s="82"/>
      <c r="G50" s="80">
        <v>0</v>
      </c>
      <c r="H50" s="80">
        <v>6636.14</v>
      </c>
      <c r="I50" s="80">
        <v>0</v>
      </c>
    </row>
    <row r="51" spans="1:9" hidden="1" x14ac:dyDescent="0.25">
      <c r="A51" s="530" t="s">
        <v>258</v>
      </c>
      <c r="B51" s="531"/>
      <c r="C51" s="532"/>
      <c r="D51" s="70"/>
      <c r="E51" s="70"/>
      <c r="F51" s="70"/>
      <c r="G51" s="91">
        <f>G10+G46</f>
        <v>24659352.578140549</v>
      </c>
      <c r="H51" s="91">
        <f>H10+H46</f>
        <v>63896084.969999999</v>
      </c>
      <c r="I51" s="91">
        <f>I10+I46</f>
        <v>30852949.75</v>
      </c>
    </row>
    <row r="52" spans="1:9" hidden="1" x14ac:dyDescent="0.25"/>
    <row r="53" spans="1:9" hidden="1" x14ac:dyDescent="0.25"/>
    <row r="54" spans="1:9" x14ac:dyDescent="0.25">
      <c r="A54" s="537" t="s">
        <v>285</v>
      </c>
      <c r="B54" s="537"/>
      <c r="C54" s="537"/>
      <c r="D54" s="537"/>
      <c r="E54" s="537"/>
      <c r="F54" s="537"/>
      <c r="G54" s="537"/>
      <c r="H54" s="537"/>
      <c r="I54" s="537"/>
    </row>
    <row r="55" spans="1:9" ht="69" customHeight="1" x14ac:dyDescent="0.25">
      <c r="A55" s="29" t="s">
        <v>3</v>
      </c>
      <c r="B55" s="29" t="s">
        <v>4</v>
      </c>
      <c r="C55" s="34" t="s">
        <v>6</v>
      </c>
      <c r="D55" s="322" t="s">
        <v>552</v>
      </c>
      <c r="E55" s="322" t="s">
        <v>556</v>
      </c>
      <c r="F55" s="14" t="s">
        <v>719</v>
      </c>
      <c r="G55" s="14" t="s">
        <v>554</v>
      </c>
      <c r="H55" s="14" t="s">
        <v>555</v>
      </c>
      <c r="I55" s="15" t="s">
        <v>553</v>
      </c>
    </row>
    <row r="56" spans="1:9" ht="13.5" customHeight="1" x14ac:dyDescent="0.25">
      <c r="A56" s="538">
        <v>1</v>
      </c>
      <c r="B56" s="539"/>
      <c r="C56" s="540"/>
      <c r="D56" s="94"/>
      <c r="E56" s="94"/>
      <c r="F56" s="94"/>
      <c r="G56" s="95">
        <v>2</v>
      </c>
      <c r="H56" s="95">
        <v>3</v>
      </c>
      <c r="I56" s="96">
        <v>4</v>
      </c>
    </row>
    <row r="57" spans="1:9" x14ac:dyDescent="0.25">
      <c r="A57" s="35">
        <v>3</v>
      </c>
      <c r="B57" s="97"/>
      <c r="C57" s="97" t="s">
        <v>82</v>
      </c>
      <c r="D57" s="90" t="e">
        <f t="shared" ref="D57:I57" si="2">D58+D81+D202+D215+D219+D224</f>
        <v>#REF!</v>
      </c>
      <c r="E57" s="90" t="e">
        <f t="shared" si="2"/>
        <v>#REF!</v>
      </c>
      <c r="F57" s="90">
        <f t="shared" si="2"/>
        <v>26423402.950000003</v>
      </c>
      <c r="G57" s="90">
        <f t="shared" si="2"/>
        <v>26300527.960000001</v>
      </c>
      <c r="H57" s="90">
        <f t="shared" si="2"/>
        <v>26565803.32</v>
      </c>
      <c r="I57" s="90">
        <f t="shared" si="2"/>
        <v>26806376.34</v>
      </c>
    </row>
    <row r="58" spans="1:9" x14ac:dyDescent="0.25">
      <c r="A58" s="38"/>
      <c r="B58" s="98">
        <v>31</v>
      </c>
      <c r="C58" s="98" t="s">
        <v>85</v>
      </c>
      <c r="D58" s="99" t="e">
        <f t="shared" ref="D58:I58" si="3">SUM(D59,D66,D75)</f>
        <v>#REF!</v>
      </c>
      <c r="E58" s="99" t="e">
        <f t="shared" si="3"/>
        <v>#REF!</v>
      </c>
      <c r="F58" s="99">
        <f t="shared" si="3"/>
        <v>15939836.210000001</v>
      </c>
      <c r="G58" s="99">
        <f t="shared" si="3"/>
        <v>15852231.880000001</v>
      </c>
      <c r="H58" s="99">
        <f t="shared" si="3"/>
        <v>15926606.340000002</v>
      </c>
      <c r="I58" s="99">
        <f t="shared" si="3"/>
        <v>15987258.989999998</v>
      </c>
    </row>
    <row r="59" spans="1:9" x14ac:dyDescent="0.25">
      <c r="A59" s="38"/>
      <c r="B59" s="83">
        <v>311</v>
      </c>
      <c r="C59" s="83" t="s">
        <v>286</v>
      </c>
      <c r="D59" s="84" t="e">
        <f>D60+D64+#REF!</f>
        <v>#REF!</v>
      </c>
      <c r="E59" s="84" t="e">
        <f>E60+E64+#REF!</f>
        <v>#REF!</v>
      </c>
      <c r="F59" s="84">
        <f>F60+F64</f>
        <v>13264984.870000001</v>
      </c>
      <c r="G59" s="84">
        <f>G60+G64</f>
        <v>13264984.870000001</v>
      </c>
      <c r="H59" s="84">
        <f t="shared" ref="H59:I59" si="4">H60+H64</f>
        <v>13263565.210000001</v>
      </c>
      <c r="I59" s="84">
        <f t="shared" si="4"/>
        <v>13259961.32</v>
      </c>
    </row>
    <row r="60" spans="1:9" x14ac:dyDescent="0.25">
      <c r="A60" s="38"/>
      <c r="B60" s="83">
        <v>3111</v>
      </c>
      <c r="C60" s="83" t="s">
        <v>87</v>
      </c>
      <c r="D60" s="84" t="e">
        <f t="shared" ref="D60" si="5">D61+D62</f>
        <v>#REF!</v>
      </c>
      <c r="E60" s="84" t="e">
        <f t="shared" ref="E60:I60" si="6">E61+E62</f>
        <v>#REF!</v>
      </c>
      <c r="F60" s="84">
        <f t="shared" ref="F60" si="7">F61+F62</f>
        <v>13094984.870000001</v>
      </c>
      <c r="G60" s="84">
        <f t="shared" si="6"/>
        <v>13094984.870000001</v>
      </c>
      <c r="H60" s="84">
        <f t="shared" si="6"/>
        <v>13086565.210000001</v>
      </c>
      <c r="I60" s="84">
        <f t="shared" si="6"/>
        <v>13075961.32</v>
      </c>
    </row>
    <row r="61" spans="1:9" x14ac:dyDescent="0.25">
      <c r="A61" s="38"/>
      <c r="B61" s="82">
        <v>31111</v>
      </c>
      <c r="C61" s="82" t="s">
        <v>87</v>
      </c>
      <c r="D61" s="80" t="e">
        <f>' PRIHODI I RASHODI-izvori'!E15+' PRIHODI I RASHODI-izvori'!E250+' PRIHODI I RASHODI-izvori'!E113+' PRIHODI I RASHODI-izvori'!E459</f>
        <v>#REF!</v>
      </c>
      <c r="E61" s="80" t="e">
        <f>' PRIHODI I RASHODI-izvori'!F15+' PRIHODI I RASHODI-izvori'!F250+' PRIHODI I RASHODI-izvori'!F113+' PRIHODI I RASHODI-izvori'!F459</f>
        <v>#REF!</v>
      </c>
      <c r="F61" s="80">
        <f>' PRIHODI I RASHODI-izvori'!G15+' PRIHODI I RASHODI-izvori'!G113+' PRIHODI I RASHODI-izvori'!G250+' PRIHODI I RASHODI-izvori'!G459+' PRIHODI I RASHODI-izvori'!G501+' PRIHODI I RASHODI-izvori'!G522</f>
        <v>13093184.870000001</v>
      </c>
      <c r="G61" s="80">
        <f>' PRIHODI I RASHODI-izvori'!H15+' PRIHODI I RASHODI-izvori'!H113+' PRIHODI I RASHODI-izvori'!H250+' PRIHODI I RASHODI-izvori'!H459+' PRIHODI I RASHODI-izvori'!H501+' PRIHODI I RASHODI-izvori'!H522</f>
        <v>13093184.870000001</v>
      </c>
      <c r="H61" s="80">
        <f>' PRIHODI I RASHODI-izvori'!I15+' PRIHODI I RASHODI-izvori'!I113+' PRIHODI I RASHODI-izvori'!I250+' PRIHODI I RASHODI-izvori'!I459+' PRIHODI I RASHODI-izvori'!I501+' PRIHODI I RASHODI-izvori'!I522</f>
        <v>13084765.210000001</v>
      </c>
      <c r="I61" s="80">
        <f>' PRIHODI I RASHODI-izvori'!J15+' PRIHODI I RASHODI-izvori'!J113+' PRIHODI I RASHODI-izvori'!J250+' PRIHODI I RASHODI-izvori'!J459+' PRIHODI I RASHODI-izvori'!J501+' PRIHODI I RASHODI-izvori'!J522</f>
        <v>13074161.32</v>
      </c>
    </row>
    <row r="62" spans="1:9" x14ac:dyDescent="0.25">
      <c r="A62" s="38"/>
      <c r="B62" s="82">
        <v>31113</v>
      </c>
      <c r="C62" s="82" t="s">
        <v>396</v>
      </c>
      <c r="D62" s="80">
        <f>' PRIHODI I RASHODI-izvori'!E251</f>
        <v>0</v>
      </c>
      <c r="E62" s="80">
        <f>' PRIHODI I RASHODI-izvori'!F251</f>
        <v>0</v>
      </c>
      <c r="F62" s="80">
        <f>' PRIHODI I RASHODI-izvori'!G251</f>
        <v>1800</v>
      </c>
      <c r="G62" s="80">
        <f>' PRIHODI I RASHODI-izvori'!H251</f>
        <v>1800</v>
      </c>
      <c r="H62" s="80">
        <f>' PRIHODI I RASHODI-izvori'!I251</f>
        <v>1800</v>
      </c>
      <c r="I62" s="80">
        <f>' PRIHODI I RASHODI-izvori'!J251</f>
        <v>1800</v>
      </c>
    </row>
    <row r="63" spans="1:9" hidden="1" x14ac:dyDescent="0.25">
      <c r="A63" s="38"/>
      <c r="B63" s="82">
        <v>3112</v>
      </c>
      <c r="C63" s="82" t="s">
        <v>89</v>
      </c>
      <c r="D63" s="80"/>
      <c r="E63" s="80"/>
      <c r="F63" s="80"/>
      <c r="G63" s="80"/>
      <c r="H63" s="80"/>
      <c r="I63" s="80"/>
    </row>
    <row r="64" spans="1:9" x14ac:dyDescent="0.25">
      <c r="A64" s="38"/>
      <c r="B64" s="83">
        <v>3113</v>
      </c>
      <c r="C64" s="83" t="s">
        <v>91</v>
      </c>
      <c r="D64" s="84">
        <f t="shared" ref="D64:I64" si="8">D65</f>
        <v>0</v>
      </c>
      <c r="E64" s="84">
        <f t="shared" si="8"/>
        <v>0</v>
      </c>
      <c r="F64" s="84">
        <f t="shared" si="8"/>
        <v>170000</v>
      </c>
      <c r="G64" s="84">
        <f t="shared" si="8"/>
        <v>170000</v>
      </c>
      <c r="H64" s="84">
        <f t="shared" si="8"/>
        <v>177000</v>
      </c>
      <c r="I64" s="84">
        <f t="shared" si="8"/>
        <v>184000</v>
      </c>
    </row>
    <row r="65" spans="1:9" x14ac:dyDescent="0.25">
      <c r="A65" s="38"/>
      <c r="B65" s="82">
        <v>31131</v>
      </c>
      <c r="C65" s="82" t="s">
        <v>91</v>
      </c>
      <c r="D65" s="80">
        <f>' PRIHODI I RASHODI-izvori'!E254</f>
        <v>0</v>
      </c>
      <c r="E65" s="80">
        <f>' PRIHODI I RASHODI-izvori'!F254</f>
        <v>0</v>
      </c>
      <c r="F65" s="80">
        <f>' PRIHODI I RASHODI-izvori'!G254</f>
        <v>170000</v>
      </c>
      <c r="G65" s="80">
        <f>' PRIHODI I RASHODI-izvori'!H254</f>
        <v>170000</v>
      </c>
      <c r="H65" s="80">
        <f>' PRIHODI I RASHODI-izvori'!I254</f>
        <v>177000</v>
      </c>
      <c r="I65" s="80">
        <f>' PRIHODI I RASHODI-izvori'!J254</f>
        <v>184000</v>
      </c>
    </row>
    <row r="66" spans="1:9" x14ac:dyDescent="0.25">
      <c r="A66" s="38"/>
      <c r="B66" s="83">
        <v>312</v>
      </c>
      <c r="C66" s="83" t="s">
        <v>95</v>
      </c>
      <c r="D66" s="84" t="e">
        <f t="shared" ref="D66:I66" si="9">SUM(D67)</f>
        <v>#REF!</v>
      </c>
      <c r="E66" s="84" t="e">
        <f t="shared" si="9"/>
        <v>#REF!</v>
      </c>
      <c r="F66" s="84">
        <f t="shared" si="9"/>
        <v>520423.69</v>
      </c>
      <c r="G66" s="84">
        <f t="shared" si="9"/>
        <v>514027.1</v>
      </c>
      <c r="H66" s="84">
        <f t="shared" si="9"/>
        <v>534181.55000000005</v>
      </c>
      <c r="I66" s="84">
        <f t="shared" si="9"/>
        <v>553478.37</v>
      </c>
    </row>
    <row r="67" spans="1:9" x14ac:dyDescent="0.25">
      <c r="A67" s="38"/>
      <c r="B67" s="83">
        <v>3121</v>
      </c>
      <c r="C67" s="83" t="s">
        <v>95</v>
      </c>
      <c r="D67" s="84" t="e">
        <f t="shared" ref="D67" si="10">SUM(D68:D74)</f>
        <v>#REF!</v>
      </c>
      <c r="E67" s="84" t="e">
        <f t="shared" ref="E67:I67" si="11">SUM(E68:E74)</f>
        <v>#REF!</v>
      </c>
      <c r="F67" s="84">
        <f t="shared" ref="F67" si="12">SUM(F68:F74)</f>
        <v>520423.69</v>
      </c>
      <c r="G67" s="84">
        <f t="shared" si="11"/>
        <v>514027.1</v>
      </c>
      <c r="H67" s="84">
        <f t="shared" si="11"/>
        <v>534181.55000000005</v>
      </c>
      <c r="I67" s="84">
        <f t="shared" si="11"/>
        <v>553478.37</v>
      </c>
    </row>
    <row r="68" spans="1:9" x14ac:dyDescent="0.25">
      <c r="A68" s="38"/>
      <c r="B68" s="82">
        <v>31212</v>
      </c>
      <c r="C68" s="82" t="s">
        <v>398</v>
      </c>
      <c r="D68" s="80">
        <f>' PRIHODI I RASHODI-izvori'!E259</f>
        <v>0</v>
      </c>
      <c r="E68" s="80">
        <f>' PRIHODI I RASHODI-izvori'!F259</f>
        <v>0</v>
      </c>
      <c r="F68" s="80">
        <f>' PRIHODI I RASHODI-izvori'!G259</f>
        <v>124500</v>
      </c>
      <c r="G68" s="80">
        <f>' PRIHODI I RASHODI-izvori'!H259</f>
        <v>124500</v>
      </c>
      <c r="H68" s="80">
        <f>' PRIHODI I RASHODI-izvori'!I259</f>
        <v>128000</v>
      </c>
      <c r="I68" s="80">
        <f>' PRIHODI I RASHODI-izvori'!J259</f>
        <v>131500</v>
      </c>
    </row>
    <row r="69" spans="1:9" x14ac:dyDescent="0.25">
      <c r="A69" s="38"/>
      <c r="B69" s="82">
        <v>31213</v>
      </c>
      <c r="C69" s="82" t="s">
        <v>400</v>
      </c>
      <c r="D69" s="80" t="e">
        <f>' PRIHODI I RASHODI-izvori'!E260+' PRIHODI I RASHODI-izvori'!E120+' PRIHODI I RASHODI-izvori'!#REF!</f>
        <v>#REF!</v>
      </c>
      <c r="E69" s="80" t="e">
        <f>' PRIHODI I RASHODI-izvori'!F260+' PRIHODI I RASHODI-izvori'!F120+' PRIHODI I RASHODI-izvori'!#REF!</f>
        <v>#REF!</v>
      </c>
      <c r="F69" s="80">
        <f>' PRIHODI I RASHODI-izvori'!G120+' PRIHODI I RASHODI-izvori'!G260+' PRIHODI I RASHODI-izvori'!G525</f>
        <v>36000</v>
      </c>
      <c r="G69" s="80">
        <f>' PRIHODI I RASHODI-izvori'!H120+' PRIHODI I RASHODI-izvori'!H260+' PRIHODI I RASHODI-izvori'!H525</f>
        <v>36000</v>
      </c>
      <c r="H69" s="80">
        <f>' PRIHODI I RASHODI-izvori'!I120+' PRIHODI I RASHODI-izvori'!I260+' PRIHODI I RASHODI-izvori'!I525</f>
        <v>38250</v>
      </c>
      <c r="I69" s="80">
        <f>' PRIHODI I RASHODI-izvori'!J120+' PRIHODI I RASHODI-izvori'!J260+' PRIHODI I RASHODI-izvori'!J525</f>
        <v>40550</v>
      </c>
    </row>
    <row r="70" spans="1:9" x14ac:dyDescent="0.25">
      <c r="A70" s="38"/>
      <c r="B70" s="82">
        <v>31214</v>
      </c>
      <c r="C70" s="82" t="s">
        <v>399</v>
      </c>
      <c r="D70" s="80">
        <f>' PRIHODI I RASHODI-izvori'!E261+' PRIHODI I RASHODI-izvori'!E121</f>
        <v>0</v>
      </c>
      <c r="E70" s="80">
        <f>' PRIHODI I RASHODI-izvori'!F261+' PRIHODI I RASHODI-izvori'!F121</f>
        <v>0</v>
      </c>
      <c r="F70" s="80">
        <f>' PRIHODI I RASHODI-izvori'!G261+' PRIHODI I RASHODI-izvori'!G121</f>
        <v>43000</v>
      </c>
      <c r="G70" s="80">
        <f>' PRIHODI I RASHODI-izvori'!H261+' PRIHODI I RASHODI-izvori'!H121</f>
        <v>43000</v>
      </c>
      <c r="H70" s="80">
        <f>' PRIHODI I RASHODI-izvori'!I261+' PRIHODI I RASHODI-izvori'!I121</f>
        <v>45000</v>
      </c>
      <c r="I70" s="80">
        <f>' PRIHODI I RASHODI-izvori'!J261+' PRIHODI I RASHODI-izvori'!J121</f>
        <v>47000</v>
      </c>
    </row>
    <row r="71" spans="1:9" x14ac:dyDescent="0.25">
      <c r="A71" s="38"/>
      <c r="B71" s="82">
        <v>31215</v>
      </c>
      <c r="C71" s="82" t="s">
        <v>401</v>
      </c>
      <c r="D71" s="80">
        <f>' PRIHODI I RASHODI-izvori'!E262+' PRIHODI I RASHODI-izvori'!E122</f>
        <v>0</v>
      </c>
      <c r="E71" s="80">
        <f>' PRIHODI I RASHODI-izvori'!F262+' PRIHODI I RASHODI-izvori'!F122</f>
        <v>0</v>
      </c>
      <c r="F71" s="80">
        <f>' PRIHODI I RASHODI-izvori'!G262+' PRIHODI I RASHODI-izvori'!G122</f>
        <v>23800</v>
      </c>
      <c r="G71" s="80">
        <f>' PRIHODI I RASHODI-izvori'!H262+' PRIHODI I RASHODI-izvori'!H122</f>
        <v>23800</v>
      </c>
      <c r="H71" s="80">
        <f>' PRIHODI I RASHODI-izvori'!I262+' PRIHODI I RASHODI-izvori'!I122</f>
        <v>26000</v>
      </c>
      <c r="I71" s="80">
        <f>' PRIHODI I RASHODI-izvori'!J262+' PRIHODI I RASHODI-izvori'!J122</f>
        <v>28200</v>
      </c>
    </row>
    <row r="72" spans="1:9" x14ac:dyDescent="0.25">
      <c r="A72" s="38"/>
      <c r="B72" s="82">
        <v>31216</v>
      </c>
      <c r="C72" s="82" t="s">
        <v>402</v>
      </c>
      <c r="D72" s="80" t="e">
        <f>' PRIHODI I RASHODI-izvori'!E263+' PRIHODI I RASHODI-izvori'!#REF!+' PRIHODI I RASHODI-izvori'!E123</f>
        <v>#REF!</v>
      </c>
      <c r="E72" s="80" t="e">
        <f>' PRIHODI I RASHODI-izvori'!F263+' PRIHODI I RASHODI-izvori'!#REF!+' PRIHODI I RASHODI-izvori'!F123</f>
        <v>#REF!</v>
      </c>
      <c r="F72" s="80">
        <f>' PRIHODI I RASHODI-izvori'!G123+' PRIHODI I RASHODI-izvori'!G263+' PRIHODI I RASHODI-izvori'!G526</f>
        <v>139250</v>
      </c>
      <c r="G72" s="80">
        <f>' PRIHODI I RASHODI-izvori'!H123+' PRIHODI I RASHODI-izvori'!H263+' PRIHODI I RASHODI-izvori'!H526</f>
        <v>139250</v>
      </c>
      <c r="H72" s="80">
        <f>' PRIHODI I RASHODI-izvori'!I123+' PRIHODI I RASHODI-izvori'!I263+' PRIHODI I RASHODI-izvori'!I526</f>
        <v>143250</v>
      </c>
      <c r="I72" s="80">
        <f>' PRIHODI I RASHODI-izvori'!J123+' PRIHODI I RASHODI-izvori'!J263+' PRIHODI I RASHODI-izvori'!J526</f>
        <v>146950</v>
      </c>
    </row>
    <row r="73" spans="1:9" x14ac:dyDescent="0.25">
      <c r="A73" s="38"/>
      <c r="B73" s="82">
        <v>31217</v>
      </c>
      <c r="C73" s="82" t="s">
        <v>625</v>
      </c>
      <c r="D73" s="80" t="e">
        <f>' PRIHODI I RASHODI-izvori'!E124+' PRIHODI I RASHODI-izvori'!#REF!</f>
        <v>#REF!</v>
      </c>
      <c r="E73" s="80" t="e">
        <f>' PRIHODI I RASHODI-izvori'!F124+' PRIHODI I RASHODI-izvori'!#REF!</f>
        <v>#REF!</v>
      </c>
      <c r="F73" s="80">
        <f>' PRIHODI I RASHODI-izvori'!G124+' PRIHODI I RASHODI-izvori'!G527</f>
        <v>65000</v>
      </c>
      <c r="G73" s="80">
        <f>' PRIHODI I RASHODI-izvori'!H124+' PRIHODI I RASHODI-izvori'!H527</f>
        <v>65000</v>
      </c>
      <c r="H73" s="80">
        <f>' PRIHODI I RASHODI-izvori'!I124+' PRIHODI I RASHODI-izvori'!I527</f>
        <v>66200</v>
      </c>
      <c r="I73" s="80">
        <f>' PRIHODI I RASHODI-izvori'!J124+' PRIHODI I RASHODI-izvori'!J527</f>
        <v>67480</v>
      </c>
    </row>
    <row r="74" spans="1:9" x14ac:dyDescent="0.25">
      <c r="A74" s="38"/>
      <c r="B74" s="82">
        <v>31219</v>
      </c>
      <c r="C74" s="82" t="s">
        <v>397</v>
      </c>
      <c r="D74" s="80" t="e">
        <f>' PRIHODI I RASHODI-izvori'!E264+' PRIHODI I RASHODI-izvori'!E125+' PRIHODI I RASHODI-izvori'!#REF!</f>
        <v>#REF!</v>
      </c>
      <c r="E74" s="80" t="e">
        <f>' PRIHODI I RASHODI-izvori'!F264+' PRIHODI I RASHODI-izvori'!F125+' PRIHODI I RASHODI-izvori'!#REF!</f>
        <v>#REF!</v>
      </c>
      <c r="F74" s="80">
        <f>' PRIHODI I RASHODI-izvori'!G18+' PRIHODI I RASHODI-izvori'!G125+' PRIHODI I RASHODI-izvori'!G264+' PRIHODI I RASHODI-izvori'!G528</f>
        <v>88873.69</v>
      </c>
      <c r="G74" s="80">
        <f>' PRIHODI I RASHODI-izvori'!H18+' PRIHODI I RASHODI-izvori'!H125+' PRIHODI I RASHODI-izvori'!H264+' PRIHODI I RASHODI-izvori'!H528</f>
        <v>82477.099999999991</v>
      </c>
      <c r="H74" s="80">
        <f>' PRIHODI I RASHODI-izvori'!I18+' PRIHODI I RASHODI-izvori'!I125+' PRIHODI I RASHODI-izvori'!I264+' PRIHODI I RASHODI-izvori'!I528</f>
        <v>87481.55</v>
      </c>
      <c r="I74" s="80">
        <f>' PRIHODI I RASHODI-izvori'!J18+' PRIHODI I RASHODI-izvori'!J125+' PRIHODI I RASHODI-izvori'!J264+' PRIHODI I RASHODI-izvori'!J528</f>
        <v>91798.37</v>
      </c>
    </row>
    <row r="75" spans="1:9" x14ac:dyDescent="0.25">
      <c r="A75" s="38"/>
      <c r="B75" s="83">
        <v>313</v>
      </c>
      <c r="C75" s="83" t="s">
        <v>287</v>
      </c>
      <c r="D75" s="84" t="e">
        <f>D76+D77+D79</f>
        <v>#REF!</v>
      </c>
      <c r="E75" s="84" t="e">
        <f t="shared" ref="E75:I75" si="13">E76+E77+E79</f>
        <v>#REF!</v>
      </c>
      <c r="F75" s="84">
        <f t="shared" si="13"/>
        <v>2154427.65</v>
      </c>
      <c r="G75" s="84">
        <f t="shared" si="13"/>
        <v>2073219.91</v>
      </c>
      <c r="H75" s="84">
        <f t="shared" si="13"/>
        <v>2128859.58</v>
      </c>
      <c r="I75" s="84">
        <f t="shared" si="13"/>
        <v>2173819.2999999998</v>
      </c>
    </row>
    <row r="76" spans="1:9" hidden="1" x14ac:dyDescent="0.25">
      <c r="A76" s="54"/>
      <c r="B76" s="83">
        <v>3131</v>
      </c>
      <c r="C76" s="83" t="s">
        <v>223</v>
      </c>
      <c r="D76" s="80"/>
      <c r="E76" s="80"/>
      <c r="F76" s="80"/>
      <c r="G76" s="80"/>
      <c r="H76" s="80"/>
      <c r="I76" s="80"/>
    </row>
    <row r="77" spans="1:9" x14ac:dyDescent="0.25">
      <c r="A77" s="54"/>
      <c r="B77" s="83">
        <v>3132</v>
      </c>
      <c r="C77" s="83" t="s">
        <v>288</v>
      </c>
      <c r="D77" s="84" t="e">
        <f t="shared" ref="D77:I77" si="14">D78</f>
        <v>#REF!</v>
      </c>
      <c r="E77" s="84" t="e">
        <f t="shared" si="14"/>
        <v>#REF!</v>
      </c>
      <c r="F77" s="84">
        <f t="shared" si="14"/>
        <v>2154427.65</v>
      </c>
      <c r="G77" s="84">
        <f t="shared" si="14"/>
        <v>2073219.91</v>
      </c>
      <c r="H77" s="84">
        <f t="shared" si="14"/>
        <v>2128859.58</v>
      </c>
      <c r="I77" s="84">
        <f t="shared" si="14"/>
        <v>2173819.2999999998</v>
      </c>
    </row>
    <row r="78" spans="1:9" x14ac:dyDescent="0.25">
      <c r="A78" s="38"/>
      <c r="B78" s="82">
        <v>31321</v>
      </c>
      <c r="C78" s="82" t="s">
        <v>288</v>
      </c>
      <c r="D78" s="80" t="e">
        <f>' PRIHODI I RASHODI-izvori'!E21+' PRIHODI I RASHODI-izvori'!E267+' PRIHODI I RASHODI-izvori'!E128+' PRIHODI I RASHODI-izvori'!E462</f>
        <v>#REF!</v>
      </c>
      <c r="E78" s="80" t="e">
        <f>' PRIHODI I RASHODI-izvori'!F21+' PRIHODI I RASHODI-izvori'!F267+' PRIHODI I RASHODI-izvori'!F128+' PRIHODI I RASHODI-izvori'!F462</f>
        <v>#REF!</v>
      </c>
      <c r="F78" s="80">
        <f>' PRIHODI I RASHODI-izvori'!G21+' PRIHODI I RASHODI-izvori'!G128+' PRIHODI I RASHODI-izvori'!G267+' PRIHODI I RASHODI-izvori'!G462+' PRIHODI I RASHODI-izvori'!G531</f>
        <v>2154427.65</v>
      </c>
      <c r="G78" s="80">
        <f>' PRIHODI I RASHODI-izvori'!H21+' PRIHODI I RASHODI-izvori'!H128+' PRIHODI I RASHODI-izvori'!H267+' PRIHODI I RASHODI-izvori'!H462+' PRIHODI I RASHODI-izvori'!H531</f>
        <v>2073219.91</v>
      </c>
      <c r="H78" s="80">
        <f>' PRIHODI I RASHODI-izvori'!I21+' PRIHODI I RASHODI-izvori'!I128+' PRIHODI I RASHODI-izvori'!I267+' PRIHODI I RASHODI-izvori'!I462+' PRIHODI I RASHODI-izvori'!I531</f>
        <v>2128859.58</v>
      </c>
      <c r="I78" s="80">
        <f>' PRIHODI I RASHODI-izvori'!J21+' PRIHODI I RASHODI-izvori'!J128+' PRIHODI I RASHODI-izvori'!J267+' PRIHODI I RASHODI-izvori'!J462+' PRIHODI I RASHODI-izvori'!J531</f>
        <v>2173819.2999999998</v>
      </c>
    </row>
    <row r="79" spans="1:9" hidden="1" x14ac:dyDescent="0.25">
      <c r="A79" s="38"/>
      <c r="B79" s="430">
        <v>3133</v>
      </c>
      <c r="C79" s="431" t="s">
        <v>559</v>
      </c>
      <c r="D79" s="84">
        <f>D80</f>
        <v>0</v>
      </c>
      <c r="E79" s="84">
        <f t="shared" ref="E79:I79" si="15">E80</f>
        <v>0</v>
      </c>
      <c r="F79" s="84"/>
      <c r="G79" s="84">
        <f t="shared" si="15"/>
        <v>0</v>
      </c>
      <c r="H79" s="84">
        <f t="shared" si="15"/>
        <v>0</v>
      </c>
      <c r="I79" s="84">
        <f t="shared" si="15"/>
        <v>0</v>
      </c>
    </row>
    <row r="80" spans="1:9" hidden="1" x14ac:dyDescent="0.25">
      <c r="A80" s="38"/>
      <c r="B80" s="429">
        <v>31332</v>
      </c>
      <c r="C80" s="432" t="s">
        <v>560</v>
      </c>
      <c r="D80" s="80">
        <f>' PRIHODI I RASHODI-izvori'!E269</f>
        <v>0</v>
      </c>
      <c r="E80" s="80">
        <f>' PRIHODI I RASHODI-izvori'!F269</f>
        <v>0</v>
      </c>
      <c r="F80" s="80"/>
      <c r="G80" s="80">
        <f>' PRIHODI I RASHODI-izvori'!H269</f>
        <v>0</v>
      </c>
      <c r="H80" s="80">
        <f>' PRIHODI I RASHODI-izvori'!I269</f>
        <v>0</v>
      </c>
      <c r="I80" s="80">
        <f>' PRIHODI I RASHODI-izvori'!J269</f>
        <v>0</v>
      </c>
    </row>
    <row r="81" spans="1:9" x14ac:dyDescent="0.25">
      <c r="A81" s="38"/>
      <c r="B81" s="98">
        <v>32</v>
      </c>
      <c r="C81" s="98" t="s">
        <v>99</v>
      </c>
      <c r="D81" s="99" t="e">
        <f t="shared" ref="D81:I81" si="16">D82+D96+D125+D169+D172+D180</f>
        <v>#REF!</v>
      </c>
      <c r="E81" s="99" t="e">
        <f t="shared" si="16"/>
        <v>#REF!</v>
      </c>
      <c r="F81" s="99">
        <f t="shared" si="16"/>
        <v>10443891.74</v>
      </c>
      <c r="G81" s="99">
        <f t="shared" si="16"/>
        <v>10408621.08</v>
      </c>
      <c r="H81" s="99">
        <f t="shared" si="16"/>
        <v>10601104.98</v>
      </c>
      <c r="I81" s="99">
        <f t="shared" si="16"/>
        <v>10780503.91</v>
      </c>
    </row>
    <row r="82" spans="1:9" x14ac:dyDescent="0.25">
      <c r="A82" s="38"/>
      <c r="B82" s="83">
        <v>321</v>
      </c>
      <c r="C82" s="83" t="s">
        <v>100</v>
      </c>
      <c r="D82" s="84" t="e">
        <f t="shared" ref="D82:I82" si="17">D83+D88+D91+D94</f>
        <v>#REF!</v>
      </c>
      <c r="E82" s="84" t="e">
        <f t="shared" si="17"/>
        <v>#REF!</v>
      </c>
      <c r="F82" s="84">
        <f t="shared" ref="F82" si="18">F83+F88+F91+F94</f>
        <v>440172.59</v>
      </c>
      <c r="G82" s="84">
        <f t="shared" si="17"/>
        <v>440172.59</v>
      </c>
      <c r="H82" s="84">
        <f t="shared" si="17"/>
        <v>446278.14</v>
      </c>
      <c r="I82" s="84">
        <f t="shared" si="17"/>
        <v>446091.08</v>
      </c>
    </row>
    <row r="83" spans="1:9" x14ac:dyDescent="0.25">
      <c r="A83" s="38"/>
      <c r="B83" s="83">
        <v>3211</v>
      </c>
      <c r="C83" s="83" t="s">
        <v>102</v>
      </c>
      <c r="D83" s="84" t="e">
        <f t="shared" ref="D83" si="19">SUM(D84:D87)</f>
        <v>#REF!</v>
      </c>
      <c r="E83" s="84" t="e">
        <f t="shared" ref="E83" si="20">SUM(E84:E87)</f>
        <v>#REF!</v>
      </c>
      <c r="F83" s="84">
        <f>SUM(F84:F87)</f>
        <v>32935.94</v>
      </c>
      <c r="G83" s="84">
        <f>SUM(G84:G87)</f>
        <v>32935.94</v>
      </c>
      <c r="H83" s="84">
        <f t="shared" ref="H83:I83" si="21">SUM(H84:H87)</f>
        <v>32375.940000000002</v>
      </c>
      <c r="I83" s="84">
        <f t="shared" si="21"/>
        <v>29703.57</v>
      </c>
    </row>
    <row r="84" spans="1:9" x14ac:dyDescent="0.25">
      <c r="A84" s="38"/>
      <c r="B84" s="82">
        <v>32111</v>
      </c>
      <c r="C84" s="82" t="s">
        <v>403</v>
      </c>
      <c r="D84" s="80" t="e">
        <f>' PRIHODI I RASHODI-izvori'!E273+' PRIHODI I RASHODI-izvori'!E466+' PRIHODI I RASHODI-izvori'!E558+' PRIHODI I RASHODI-izvori'!E132+' PRIHODI I RASHODI-izvori'!E25</f>
        <v>#REF!</v>
      </c>
      <c r="E84" s="80" t="e">
        <f>' PRIHODI I RASHODI-izvori'!F273+' PRIHODI I RASHODI-izvori'!F466+' PRIHODI I RASHODI-izvori'!F558+' PRIHODI I RASHODI-izvori'!F132+' PRIHODI I RASHODI-izvori'!F25</f>
        <v>#REF!</v>
      </c>
      <c r="F84" s="80">
        <f>' PRIHODI I RASHODI-izvori'!G25+' PRIHODI I RASHODI-izvori'!G132+' PRIHODI I RASHODI-izvori'!G273+' PRIHODI I RASHODI-izvori'!G466+' PRIHODI I RASHODI-izvori'!G505+' PRIHODI I RASHODI-izvori'!G535+' PRIHODI I RASHODI-izvori'!G558</f>
        <v>19322.330000000002</v>
      </c>
      <c r="G84" s="80">
        <f>' PRIHODI I RASHODI-izvori'!H25+' PRIHODI I RASHODI-izvori'!H132+' PRIHODI I RASHODI-izvori'!H273+' PRIHODI I RASHODI-izvori'!H466+' PRIHODI I RASHODI-izvori'!H505+' PRIHODI I RASHODI-izvori'!H535+' PRIHODI I RASHODI-izvori'!H558</f>
        <v>19322.330000000002</v>
      </c>
      <c r="H84" s="80">
        <f>' PRIHODI I RASHODI-izvori'!I25+' PRIHODI I RASHODI-izvori'!I132+' PRIHODI I RASHODI-izvori'!I273+' PRIHODI I RASHODI-izvori'!I466+' PRIHODI I RASHODI-izvori'!I505+' PRIHODI I RASHODI-izvori'!I535+' PRIHODI I RASHODI-izvori'!I558</f>
        <v>19322.330000000002</v>
      </c>
      <c r="I84" s="80">
        <f>' PRIHODI I RASHODI-izvori'!J25+' PRIHODI I RASHODI-izvori'!J132+' PRIHODI I RASHODI-izvori'!J273+' PRIHODI I RASHODI-izvori'!J466+' PRIHODI I RASHODI-izvori'!J505+' PRIHODI I RASHODI-izvori'!J535+' PRIHODI I RASHODI-izvori'!J558</f>
        <v>16209.96</v>
      </c>
    </row>
    <row r="85" spans="1:9" x14ac:dyDescent="0.25">
      <c r="A85" s="38"/>
      <c r="B85" s="82">
        <v>32113</v>
      </c>
      <c r="C85" s="82" t="s">
        <v>405</v>
      </c>
      <c r="D85" s="80" t="e">
        <f>' PRIHODI I RASHODI-izvori'!E274+' PRIHODI I RASHODI-izvori'!E467+' PRIHODI I RASHODI-izvori'!E133</f>
        <v>#REF!</v>
      </c>
      <c r="E85" s="80" t="e">
        <f>' PRIHODI I RASHODI-izvori'!F274+' PRIHODI I RASHODI-izvori'!F467+' PRIHODI I RASHODI-izvori'!F133</f>
        <v>#REF!</v>
      </c>
      <c r="F85" s="80">
        <f>' PRIHODI I RASHODI-izvori'!G133+' PRIHODI I RASHODI-izvori'!G274+' PRIHODI I RASHODI-izvori'!G467+' PRIHODI I RASHODI-izvori'!G536</f>
        <v>7600</v>
      </c>
      <c r="G85" s="80">
        <f>' PRIHODI I RASHODI-izvori'!H133+' PRIHODI I RASHODI-izvori'!H274+' PRIHODI I RASHODI-izvori'!H467+' PRIHODI I RASHODI-izvori'!H536</f>
        <v>7600</v>
      </c>
      <c r="H85" s="80">
        <f>' PRIHODI I RASHODI-izvori'!I133+' PRIHODI I RASHODI-izvori'!I274+' PRIHODI I RASHODI-izvori'!I467+' PRIHODI I RASHODI-izvori'!I536</f>
        <v>7200</v>
      </c>
      <c r="I85" s="80">
        <f>' PRIHODI I RASHODI-izvori'!J133+' PRIHODI I RASHODI-izvori'!J274+' PRIHODI I RASHODI-izvori'!J467+' PRIHODI I RASHODI-izvori'!J536</f>
        <v>7400</v>
      </c>
    </row>
    <row r="86" spans="1:9" x14ac:dyDescent="0.25">
      <c r="A86" s="38"/>
      <c r="B86" s="82">
        <v>32115</v>
      </c>
      <c r="C86" s="82" t="s">
        <v>406</v>
      </c>
      <c r="D86" s="80" t="e">
        <f>' PRIHODI I RASHODI-izvori'!E275+' PRIHODI I RASHODI-izvori'!E134+' PRIHODI I RASHODI-izvori'!E559+' PRIHODI I RASHODI-izvori'!E468</f>
        <v>#REF!</v>
      </c>
      <c r="E86" s="80" t="e">
        <f>' PRIHODI I RASHODI-izvori'!F275+' PRIHODI I RASHODI-izvori'!F134+' PRIHODI I RASHODI-izvori'!F559+' PRIHODI I RASHODI-izvori'!F468</f>
        <v>#REF!</v>
      </c>
      <c r="F86" s="80">
        <f>' PRIHODI I RASHODI-izvori'!G134+' PRIHODI I RASHODI-izvori'!G275+' PRIHODI I RASHODI-izvori'!G468+' PRIHODI I RASHODI-izvori'!G537+' PRIHODI I RASHODI-izvori'!G559</f>
        <v>4863.6100000000006</v>
      </c>
      <c r="G86" s="80">
        <f>' PRIHODI I RASHODI-izvori'!H134+' PRIHODI I RASHODI-izvori'!H275+' PRIHODI I RASHODI-izvori'!H468+' PRIHODI I RASHODI-izvori'!H537+' PRIHODI I RASHODI-izvori'!H559</f>
        <v>4863.6100000000006</v>
      </c>
      <c r="H86" s="80">
        <f>' PRIHODI I RASHODI-izvori'!I134+' PRIHODI I RASHODI-izvori'!I275+' PRIHODI I RASHODI-izvori'!I468+' PRIHODI I RASHODI-izvori'!I537+' PRIHODI I RASHODI-izvori'!I559</f>
        <v>4663.6100000000006</v>
      </c>
      <c r="I86" s="80">
        <f>' PRIHODI I RASHODI-izvori'!J134+' PRIHODI I RASHODI-izvori'!J275+' PRIHODI I RASHODI-izvori'!J468+' PRIHODI I RASHODI-izvori'!J537+' PRIHODI I RASHODI-izvori'!J559</f>
        <v>4863.6100000000006</v>
      </c>
    </row>
    <row r="87" spans="1:9" x14ac:dyDescent="0.25">
      <c r="A87" s="38"/>
      <c r="B87" s="82">
        <v>32119</v>
      </c>
      <c r="C87" s="82" t="s">
        <v>588</v>
      </c>
      <c r="D87" s="80">
        <f>' PRIHODI I RASHODI-izvori'!E276+' PRIHODI I RASHODI-izvori'!E135+' PRIHODI I RASHODI-izvori'!E26</f>
        <v>0</v>
      </c>
      <c r="E87" s="80">
        <f>' PRIHODI I RASHODI-izvori'!F276+' PRIHODI I RASHODI-izvori'!F135+' PRIHODI I RASHODI-izvori'!F26</f>
        <v>0</v>
      </c>
      <c r="F87" s="80">
        <f>' PRIHODI I RASHODI-izvori'!G26+' PRIHODI I RASHODI-izvori'!G135+' PRIHODI I RASHODI-izvori'!G276</f>
        <v>1150</v>
      </c>
      <c r="G87" s="80">
        <f>' PRIHODI I RASHODI-izvori'!H26+' PRIHODI I RASHODI-izvori'!H135+' PRIHODI I RASHODI-izvori'!H276</f>
        <v>1150</v>
      </c>
      <c r="H87" s="80">
        <f>' PRIHODI I RASHODI-izvori'!I26+' PRIHODI I RASHODI-izvori'!I135+' PRIHODI I RASHODI-izvori'!I276</f>
        <v>1190</v>
      </c>
      <c r="I87" s="80">
        <f>' PRIHODI I RASHODI-izvori'!J26+' PRIHODI I RASHODI-izvori'!J135+' PRIHODI I RASHODI-izvori'!J276</f>
        <v>1230</v>
      </c>
    </row>
    <row r="88" spans="1:9" x14ac:dyDescent="0.25">
      <c r="A88" s="38"/>
      <c r="B88" s="83">
        <v>3212</v>
      </c>
      <c r="C88" s="83" t="s">
        <v>404</v>
      </c>
      <c r="D88" s="84" t="e">
        <f>SUM(D89:D90)</f>
        <v>#REF!</v>
      </c>
      <c r="E88" s="84" t="e">
        <f t="shared" ref="E88:I88" si="22">SUM(E89:E90)</f>
        <v>#REF!</v>
      </c>
      <c r="F88" s="84">
        <f t="shared" ref="F88" si="23">SUM(F89:F90)</f>
        <v>383293.98000000004</v>
      </c>
      <c r="G88" s="84">
        <f t="shared" si="22"/>
        <v>383293.98000000004</v>
      </c>
      <c r="H88" s="84">
        <f t="shared" si="22"/>
        <v>390331.86</v>
      </c>
      <c r="I88" s="84">
        <f t="shared" si="22"/>
        <v>393601.21</v>
      </c>
    </row>
    <row r="89" spans="1:9" x14ac:dyDescent="0.25">
      <c r="A89" s="38"/>
      <c r="B89" s="82">
        <v>32121</v>
      </c>
      <c r="C89" s="82" t="s">
        <v>289</v>
      </c>
      <c r="D89" s="80" t="e">
        <f>' PRIHODI I RASHODI-izvori'!E278+' PRIHODI I RASHODI-izvori'!E137+' PRIHODI I RASHODI-izvori'!E470</f>
        <v>#REF!</v>
      </c>
      <c r="E89" s="80" t="e">
        <f>' PRIHODI I RASHODI-izvori'!F278+' PRIHODI I RASHODI-izvori'!F137+' PRIHODI I RASHODI-izvori'!F470</f>
        <v>#REF!</v>
      </c>
      <c r="F89" s="80">
        <f>' PRIHODI I RASHODI-izvori'!G137+' PRIHODI I RASHODI-izvori'!G278+' PRIHODI I RASHODI-izvori'!G470+' PRIHODI I RASHODI-izvori'!G539</f>
        <v>379293.98000000004</v>
      </c>
      <c r="G89" s="80">
        <f>' PRIHODI I RASHODI-izvori'!H137+' PRIHODI I RASHODI-izvori'!H278+' PRIHODI I RASHODI-izvori'!H470+' PRIHODI I RASHODI-izvori'!H539</f>
        <v>379293.98000000004</v>
      </c>
      <c r="H89" s="80">
        <f>' PRIHODI I RASHODI-izvori'!I137+' PRIHODI I RASHODI-izvori'!I278+' PRIHODI I RASHODI-izvori'!I470+' PRIHODI I RASHODI-izvori'!I539</f>
        <v>386331.86</v>
      </c>
      <c r="I89" s="80">
        <f>' PRIHODI I RASHODI-izvori'!J137+' PRIHODI I RASHODI-izvori'!J278+' PRIHODI I RASHODI-izvori'!J470+' PRIHODI I RASHODI-izvori'!J539</f>
        <v>389601.21</v>
      </c>
    </row>
    <row r="90" spans="1:9" x14ac:dyDescent="0.25">
      <c r="A90" s="38"/>
      <c r="B90" s="82">
        <v>32123</v>
      </c>
      <c r="C90" s="82" t="s">
        <v>627</v>
      </c>
      <c r="D90" s="80">
        <f>' PRIHODI I RASHODI-izvori'!E138</f>
        <v>0</v>
      </c>
      <c r="E90" s="80">
        <f>' PRIHODI I RASHODI-izvori'!F138</f>
        <v>0</v>
      </c>
      <c r="F90" s="80">
        <f>' PRIHODI I RASHODI-izvori'!G138</f>
        <v>4000</v>
      </c>
      <c r="G90" s="80">
        <f>' PRIHODI I RASHODI-izvori'!H138</f>
        <v>4000</v>
      </c>
      <c r="H90" s="80">
        <f>' PRIHODI I RASHODI-izvori'!I138</f>
        <v>4000</v>
      </c>
      <c r="I90" s="80">
        <f>' PRIHODI I RASHODI-izvori'!J138</f>
        <v>4000</v>
      </c>
    </row>
    <row r="91" spans="1:9" x14ac:dyDescent="0.25">
      <c r="A91" s="38"/>
      <c r="B91" s="83">
        <v>3213</v>
      </c>
      <c r="C91" s="83" t="s">
        <v>106</v>
      </c>
      <c r="D91" s="84" t="e">
        <f t="shared" ref="D91:I91" si="24">SUM(D92:D93)</f>
        <v>#REF!</v>
      </c>
      <c r="E91" s="84" t="e">
        <f t="shared" si="24"/>
        <v>#REF!</v>
      </c>
      <c r="F91" s="84">
        <f t="shared" ref="F91" si="25">SUM(F92:F93)</f>
        <v>23742.67</v>
      </c>
      <c r="G91" s="84">
        <f t="shared" si="24"/>
        <v>23742.67</v>
      </c>
      <c r="H91" s="84">
        <f t="shared" si="24"/>
        <v>23370.34</v>
      </c>
      <c r="I91" s="84">
        <f t="shared" si="24"/>
        <v>22586.300000000003</v>
      </c>
    </row>
    <row r="92" spans="1:9" x14ac:dyDescent="0.25">
      <c r="A92" s="38"/>
      <c r="B92" s="82">
        <v>32131</v>
      </c>
      <c r="C92" s="82" t="s">
        <v>407</v>
      </c>
      <c r="D92" s="80" t="e">
        <f>' PRIHODI I RASHODI-izvori'!E280+' PRIHODI I RASHODI-izvori'!E140+' PRIHODI I RASHODI-izvori'!E28+' PRIHODI I RASHODI-izvori'!#REF!</f>
        <v>#REF!</v>
      </c>
      <c r="E92" s="80" t="e">
        <f>' PRIHODI I RASHODI-izvori'!F280+' PRIHODI I RASHODI-izvori'!F140+' PRIHODI I RASHODI-izvori'!F28+' PRIHODI I RASHODI-izvori'!#REF!</f>
        <v>#REF!</v>
      </c>
      <c r="F92" s="80">
        <f>' PRIHODI I RASHODI-izvori'!G28+' PRIHODI I RASHODI-izvori'!G140+' PRIHODI I RASHODI-izvori'!G280+' PRIHODI I RASHODI-izvori'!G507</f>
        <v>13100</v>
      </c>
      <c r="G92" s="80">
        <f>' PRIHODI I RASHODI-izvori'!H28+' PRIHODI I RASHODI-izvori'!H140+' PRIHODI I RASHODI-izvori'!H280+' PRIHODI I RASHODI-izvori'!H507</f>
        <v>13100</v>
      </c>
      <c r="H92" s="80">
        <f>' PRIHODI I RASHODI-izvori'!I28+' PRIHODI I RASHODI-izvori'!I140+' PRIHODI I RASHODI-izvori'!I280+' PRIHODI I RASHODI-izvori'!I507</f>
        <v>13505.69</v>
      </c>
      <c r="I92" s="80">
        <f>' PRIHODI I RASHODI-izvori'!J28+' PRIHODI I RASHODI-izvori'!J140+' PRIHODI I RASHODI-izvori'!J280+' PRIHODI I RASHODI-izvori'!J507</f>
        <v>13980.69</v>
      </c>
    </row>
    <row r="93" spans="1:9" x14ac:dyDescent="0.25">
      <c r="A93" s="38"/>
      <c r="B93" s="82">
        <v>32132</v>
      </c>
      <c r="C93" s="82" t="s">
        <v>408</v>
      </c>
      <c r="D93" s="80" t="e">
        <f>' PRIHODI I RASHODI-izvori'!E281+' PRIHODI I RASHODI-izvori'!E141+' PRIHODI I RASHODI-izvori'!E472</f>
        <v>#REF!</v>
      </c>
      <c r="E93" s="80" t="e">
        <f>' PRIHODI I RASHODI-izvori'!F281+' PRIHODI I RASHODI-izvori'!F141+' PRIHODI I RASHODI-izvori'!F472</f>
        <v>#REF!</v>
      </c>
      <c r="F93" s="80">
        <f>' PRIHODI I RASHODI-izvori'!G141+' PRIHODI I RASHODI-izvori'!G281+' PRIHODI I RASHODI-izvori'!G472+' PRIHODI I RASHODI-izvori'!G541</f>
        <v>10642.67</v>
      </c>
      <c r="G93" s="80">
        <f>' PRIHODI I RASHODI-izvori'!H141+' PRIHODI I RASHODI-izvori'!H281+' PRIHODI I RASHODI-izvori'!H472+' PRIHODI I RASHODI-izvori'!H541</f>
        <v>10642.67</v>
      </c>
      <c r="H93" s="80">
        <f>' PRIHODI I RASHODI-izvori'!I141+' PRIHODI I RASHODI-izvori'!I281+' PRIHODI I RASHODI-izvori'!I472+' PRIHODI I RASHODI-izvori'!I541</f>
        <v>9864.65</v>
      </c>
      <c r="I93" s="80">
        <f>' PRIHODI I RASHODI-izvori'!J141+' PRIHODI I RASHODI-izvori'!J281+' PRIHODI I RASHODI-izvori'!J472+' PRIHODI I RASHODI-izvori'!J541</f>
        <v>8605.61</v>
      </c>
    </row>
    <row r="94" spans="1:9" x14ac:dyDescent="0.25">
      <c r="A94" s="38"/>
      <c r="B94" s="83">
        <v>3214</v>
      </c>
      <c r="C94" s="83" t="s">
        <v>108</v>
      </c>
      <c r="D94" s="84">
        <f t="shared" ref="D94:I94" si="26">D95</f>
        <v>0</v>
      </c>
      <c r="E94" s="84">
        <f t="shared" si="26"/>
        <v>0</v>
      </c>
      <c r="F94" s="84">
        <f t="shared" si="26"/>
        <v>200</v>
      </c>
      <c r="G94" s="84">
        <f t="shared" si="26"/>
        <v>200</v>
      </c>
      <c r="H94" s="84">
        <f t="shared" si="26"/>
        <v>200</v>
      </c>
      <c r="I94" s="84">
        <f t="shared" si="26"/>
        <v>200</v>
      </c>
    </row>
    <row r="95" spans="1:9" x14ac:dyDescent="0.25">
      <c r="A95" s="38"/>
      <c r="B95" s="82">
        <v>32141</v>
      </c>
      <c r="C95" s="82" t="s">
        <v>409</v>
      </c>
      <c r="D95" s="80">
        <f>' PRIHODI I RASHODI-izvori'!E283</f>
        <v>0</v>
      </c>
      <c r="E95" s="80">
        <f>' PRIHODI I RASHODI-izvori'!F283</f>
        <v>0</v>
      </c>
      <c r="F95" s="80">
        <f>' PRIHODI I RASHODI-izvori'!G283</f>
        <v>200</v>
      </c>
      <c r="G95" s="80">
        <f>' PRIHODI I RASHODI-izvori'!H283</f>
        <v>200</v>
      </c>
      <c r="H95" s="80">
        <f>' PRIHODI I RASHODI-izvori'!I283</f>
        <v>200</v>
      </c>
      <c r="I95" s="80">
        <f>' PRIHODI I RASHODI-izvori'!J283</f>
        <v>200</v>
      </c>
    </row>
    <row r="96" spans="1:9" x14ac:dyDescent="0.25">
      <c r="A96" s="38"/>
      <c r="B96" s="83">
        <v>322</v>
      </c>
      <c r="C96" s="83" t="s">
        <v>110</v>
      </c>
      <c r="D96" s="84" t="e">
        <f t="shared" ref="D96:I96" si="27">D97+D104+D110+D115+D120+D123</f>
        <v>#REF!</v>
      </c>
      <c r="E96" s="84" t="e">
        <f t="shared" si="27"/>
        <v>#REF!</v>
      </c>
      <c r="F96" s="84">
        <f t="shared" si="27"/>
        <v>3399439.0599999996</v>
      </c>
      <c r="G96" s="84">
        <f t="shared" si="27"/>
        <v>3476735.4899999998</v>
      </c>
      <c r="H96" s="84">
        <f t="shared" si="27"/>
        <v>3523632.39</v>
      </c>
      <c r="I96" s="84">
        <f t="shared" si="27"/>
        <v>3571536.98</v>
      </c>
    </row>
    <row r="97" spans="1:9" x14ac:dyDescent="0.25">
      <c r="A97" s="38"/>
      <c r="B97" s="83">
        <v>3221</v>
      </c>
      <c r="C97" s="83" t="s">
        <v>112</v>
      </c>
      <c r="D97" s="84" t="e">
        <f t="shared" ref="D97:I97" si="28">SUM(D98:D103)</f>
        <v>#REF!</v>
      </c>
      <c r="E97" s="84" t="e">
        <f t="shared" si="28"/>
        <v>#REF!</v>
      </c>
      <c r="F97" s="84">
        <f t="shared" ref="F97" si="29">SUM(F98:F103)</f>
        <v>138033.03</v>
      </c>
      <c r="G97" s="84">
        <f t="shared" si="28"/>
        <v>138033.03</v>
      </c>
      <c r="H97" s="84">
        <f t="shared" si="28"/>
        <v>145150</v>
      </c>
      <c r="I97" s="84">
        <f t="shared" si="28"/>
        <v>155250</v>
      </c>
    </row>
    <row r="98" spans="1:9" x14ac:dyDescent="0.25">
      <c r="A98" s="38"/>
      <c r="B98" s="82">
        <v>32211</v>
      </c>
      <c r="C98" s="82" t="s">
        <v>410</v>
      </c>
      <c r="D98" s="80" t="e">
        <f>' PRIHODI I RASHODI-izvori'!E286+' PRIHODI I RASHODI-izvori'!E145+' PRIHODI I RASHODI-izvori'!E31+' PRIHODI I RASHODI-izvori'!E475</f>
        <v>#REF!</v>
      </c>
      <c r="E98" s="80" t="e">
        <f>' PRIHODI I RASHODI-izvori'!F286+' PRIHODI I RASHODI-izvori'!F145+' PRIHODI I RASHODI-izvori'!F31+' PRIHODI I RASHODI-izvori'!F475</f>
        <v>#REF!</v>
      </c>
      <c r="F98" s="80">
        <f>' PRIHODI I RASHODI-izvori'!G286+' PRIHODI I RASHODI-izvori'!G145+' PRIHODI I RASHODI-izvori'!G31+' PRIHODI I RASHODI-izvori'!G475</f>
        <v>49833.03</v>
      </c>
      <c r="G98" s="80">
        <f>' PRIHODI I RASHODI-izvori'!H286+' PRIHODI I RASHODI-izvori'!H145+' PRIHODI I RASHODI-izvori'!H31+' PRIHODI I RASHODI-izvori'!H475</f>
        <v>49833.03</v>
      </c>
      <c r="H98" s="80">
        <f>' PRIHODI I RASHODI-izvori'!I286+' PRIHODI I RASHODI-izvori'!I145+' PRIHODI I RASHODI-izvori'!I31+' PRIHODI I RASHODI-izvori'!I475</f>
        <v>53000</v>
      </c>
      <c r="I98" s="80">
        <f>' PRIHODI I RASHODI-izvori'!J286+' PRIHODI I RASHODI-izvori'!J145+' PRIHODI I RASHODI-izvori'!J31+' PRIHODI I RASHODI-izvori'!J475</f>
        <v>57850</v>
      </c>
    </row>
    <row r="99" spans="1:9" x14ac:dyDescent="0.25">
      <c r="A99" s="38"/>
      <c r="B99" s="82">
        <v>32212</v>
      </c>
      <c r="C99" s="82" t="s">
        <v>411</v>
      </c>
      <c r="D99" s="80">
        <f>' PRIHODI I RASHODI-izvori'!E287</f>
        <v>0</v>
      </c>
      <c r="E99" s="80">
        <f>' PRIHODI I RASHODI-izvori'!F287</f>
        <v>0</v>
      </c>
      <c r="F99" s="80">
        <f>' PRIHODI I RASHODI-izvori'!G287</f>
        <v>1500</v>
      </c>
      <c r="G99" s="80">
        <f>' PRIHODI I RASHODI-izvori'!H287</f>
        <v>1500</v>
      </c>
      <c r="H99" s="80">
        <f>' PRIHODI I RASHODI-izvori'!I287</f>
        <v>1650</v>
      </c>
      <c r="I99" s="80">
        <f>' PRIHODI I RASHODI-izvori'!J287</f>
        <v>1800</v>
      </c>
    </row>
    <row r="100" spans="1:9" x14ac:dyDescent="0.25">
      <c r="A100" s="38"/>
      <c r="B100" s="82">
        <v>32214</v>
      </c>
      <c r="C100" s="82" t="s">
        <v>412</v>
      </c>
      <c r="D100" s="80" t="e">
        <f>' PRIHODI I RASHODI-izvori'!E288+' PRIHODI I RASHODI-izvori'!E32</f>
        <v>#REF!</v>
      </c>
      <c r="E100" s="80" t="e">
        <f>' PRIHODI I RASHODI-izvori'!F288+' PRIHODI I RASHODI-izvori'!F32</f>
        <v>#REF!</v>
      </c>
      <c r="F100" s="80">
        <f>' PRIHODI I RASHODI-izvori'!G288+' PRIHODI I RASHODI-izvori'!G32</f>
        <v>58500</v>
      </c>
      <c r="G100" s="80">
        <f>' PRIHODI I RASHODI-izvori'!H288+' PRIHODI I RASHODI-izvori'!H32</f>
        <v>58500</v>
      </c>
      <c r="H100" s="80">
        <f>' PRIHODI I RASHODI-izvori'!I288+' PRIHODI I RASHODI-izvori'!I32</f>
        <v>61000</v>
      </c>
      <c r="I100" s="80">
        <f>' PRIHODI I RASHODI-izvori'!J288+' PRIHODI I RASHODI-izvori'!J32</f>
        <v>63500</v>
      </c>
    </row>
    <row r="101" spans="1:9" x14ac:dyDescent="0.25">
      <c r="A101" s="38"/>
      <c r="B101" s="82">
        <v>32215</v>
      </c>
      <c r="C101" s="82" t="s">
        <v>413</v>
      </c>
      <c r="D101" s="80">
        <f>' PRIHODI I RASHODI-izvori'!E289</f>
        <v>0</v>
      </c>
      <c r="E101" s="80">
        <f>' PRIHODI I RASHODI-izvori'!F289</f>
        <v>0</v>
      </c>
      <c r="F101" s="80">
        <f>' PRIHODI I RASHODI-izvori'!G289</f>
        <v>500</v>
      </c>
      <c r="G101" s="80">
        <f>' PRIHODI I RASHODI-izvori'!H289</f>
        <v>500</v>
      </c>
      <c r="H101" s="80">
        <f>' PRIHODI I RASHODI-izvori'!I289</f>
        <v>700</v>
      </c>
      <c r="I101" s="80">
        <f>' PRIHODI I RASHODI-izvori'!J289</f>
        <v>900</v>
      </c>
    </row>
    <row r="102" spans="1:9" x14ac:dyDescent="0.25">
      <c r="A102" s="38"/>
      <c r="B102" s="82">
        <v>32216</v>
      </c>
      <c r="C102" s="57" t="s">
        <v>590</v>
      </c>
      <c r="D102" s="80">
        <f>' PRIHODI I RASHODI-izvori'!E290</f>
        <v>0</v>
      </c>
      <c r="E102" s="80">
        <f>' PRIHODI I RASHODI-izvori'!F290</f>
        <v>0</v>
      </c>
      <c r="F102" s="80">
        <f>' PRIHODI I RASHODI-izvori'!G290</f>
        <v>25000</v>
      </c>
      <c r="G102" s="80">
        <f>' PRIHODI I RASHODI-izvori'!H290</f>
        <v>25000</v>
      </c>
      <c r="H102" s="80">
        <f>' PRIHODI I RASHODI-izvori'!I290</f>
        <v>27000</v>
      </c>
      <c r="I102" s="80">
        <f>' PRIHODI I RASHODI-izvori'!J290</f>
        <v>29000</v>
      </c>
    </row>
    <row r="103" spans="1:9" x14ac:dyDescent="0.25">
      <c r="A103" s="38"/>
      <c r="B103" s="82">
        <v>32219</v>
      </c>
      <c r="C103" s="82" t="s">
        <v>414</v>
      </c>
      <c r="D103" s="80">
        <f>' PRIHODI I RASHODI-izvori'!E291+' PRIHODI I RASHODI-izvori'!E476</f>
        <v>0</v>
      </c>
      <c r="E103" s="80">
        <f>' PRIHODI I RASHODI-izvori'!F291+' PRIHODI I RASHODI-izvori'!F476</f>
        <v>0</v>
      </c>
      <c r="F103" s="80">
        <f>' PRIHODI I RASHODI-izvori'!G291+' PRIHODI I RASHODI-izvori'!G476</f>
        <v>2700</v>
      </c>
      <c r="G103" s="80">
        <f>' PRIHODI I RASHODI-izvori'!H291+' PRIHODI I RASHODI-izvori'!H476</f>
        <v>2700</v>
      </c>
      <c r="H103" s="80">
        <f>' PRIHODI I RASHODI-izvori'!I291+' PRIHODI I RASHODI-izvori'!I476</f>
        <v>1800</v>
      </c>
      <c r="I103" s="80">
        <f>' PRIHODI I RASHODI-izvori'!J291+' PRIHODI I RASHODI-izvori'!J476</f>
        <v>2200</v>
      </c>
    </row>
    <row r="104" spans="1:9" x14ac:dyDescent="0.25">
      <c r="A104" s="38"/>
      <c r="B104" s="83">
        <v>3222</v>
      </c>
      <c r="C104" s="83" t="s">
        <v>114</v>
      </c>
      <c r="D104" s="84" t="e">
        <f t="shared" ref="D104:I104" si="30">SUM(D105:D109)</f>
        <v>#REF!</v>
      </c>
      <c r="E104" s="84" t="e">
        <f t="shared" si="30"/>
        <v>#REF!</v>
      </c>
      <c r="F104" s="84">
        <f t="shared" si="30"/>
        <v>2868850.67</v>
      </c>
      <c r="G104" s="84">
        <f t="shared" si="30"/>
        <v>2956455</v>
      </c>
      <c r="H104" s="84">
        <f t="shared" si="30"/>
        <v>2982990.29</v>
      </c>
      <c r="I104" s="84">
        <f t="shared" si="30"/>
        <v>3006994.88</v>
      </c>
    </row>
    <row r="105" spans="1:9" hidden="1" x14ac:dyDescent="0.25">
      <c r="A105" s="38"/>
      <c r="B105" s="82">
        <v>32221</v>
      </c>
      <c r="C105" s="82" t="s">
        <v>415</v>
      </c>
      <c r="D105" s="80" t="e">
        <f>' PRIHODI I RASHODI-izvori'!E293+' PRIHODI I RASHODI-izvori'!E147+' PRIHODI I RASHODI-izvori'!E34</f>
        <v>#REF!</v>
      </c>
      <c r="E105" s="80" t="e">
        <f>' PRIHODI I RASHODI-izvori'!F293+' PRIHODI I RASHODI-izvori'!F147+' PRIHODI I RASHODI-izvori'!F34</f>
        <v>#REF!</v>
      </c>
      <c r="F105" s="80"/>
      <c r="G105" s="80">
        <f>' PRIHODI I RASHODI-izvori'!H293+' PRIHODI I RASHODI-izvori'!H147+' PRIHODI I RASHODI-izvori'!H34</f>
        <v>0</v>
      </c>
      <c r="H105" s="80">
        <f>' PRIHODI I RASHODI-izvori'!I293+' PRIHODI I RASHODI-izvori'!I147+' PRIHODI I RASHODI-izvori'!I34</f>
        <v>0</v>
      </c>
      <c r="I105" s="80">
        <f>' PRIHODI I RASHODI-izvori'!J293+' PRIHODI I RASHODI-izvori'!J147+' PRIHODI I RASHODI-izvori'!J34</f>
        <v>0</v>
      </c>
    </row>
    <row r="106" spans="1:9" x14ac:dyDescent="0.25">
      <c r="A106" s="38"/>
      <c r="B106" s="82">
        <v>32224</v>
      </c>
      <c r="C106" s="82" t="s">
        <v>593</v>
      </c>
      <c r="D106" s="80">
        <f>' PRIHODI I RASHODI-izvori'!E294</f>
        <v>0</v>
      </c>
      <c r="E106" s="80">
        <f>' PRIHODI I RASHODI-izvori'!F294</f>
        <v>0</v>
      </c>
      <c r="F106" s="80">
        <f>' PRIHODI I RASHODI-izvori'!G294</f>
        <v>12000</v>
      </c>
      <c r="G106" s="80">
        <f>' PRIHODI I RASHODI-izvori'!H294</f>
        <v>12000</v>
      </c>
      <c r="H106" s="80">
        <f>' PRIHODI I RASHODI-izvori'!I294</f>
        <v>13000</v>
      </c>
      <c r="I106" s="80">
        <f>' PRIHODI I RASHODI-izvori'!J294</f>
        <v>14000</v>
      </c>
    </row>
    <row r="107" spans="1:9" x14ac:dyDescent="0.25">
      <c r="A107" s="38"/>
      <c r="B107" s="82">
        <v>32225</v>
      </c>
      <c r="C107" s="82" t="s">
        <v>594</v>
      </c>
      <c r="D107" s="80">
        <f>' PRIHODI I RASHODI-izvori'!E295</f>
        <v>0</v>
      </c>
      <c r="E107" s="80">
        <f>' PRIHODI I RASHODI-izvori'!F295</f>
        <v>0</v>
      </c>
      <c r="F107" s="80">
        <f>' PRIHODI I RASHODI-izvori'!G35+' PRIHODI I RASHODI-izvori'!G295</f>
        <v>2856850.67</v>
      </c>
      <c r="G107" s="80">
        <f>' PRIHODI I RASHODI-izvori'!H35+' PRIHODI I RASHODI-izvori'!H295</f>
        <v>2944455</v>
      </c>
      <c r="H107" s="80">
        <f>' PRIHODI I RASHODI-izvori'!I35+' PRIHODI I RASHODI-izvori'!I295</f>
        <v>2969990.29</v>
      </c>
      <c r="I107" s="80">
        <f>' PRIHODI I RASHODI-izvori'!J35+' PRIHODI I RASHODI-izvori'!J295</f>
        <v>2992994.88</v>
      </c>
    </row>
    <row r="108" spans="1:9" hidden="1" x14ac:dyDescent="0.25">
      <c r="A108" s="38"/>
      <c r="B108" s="82">
        <v>32226</v>
      </c>
      <c r="C108" s="82" t="s">
        <v>416</v>
      </c>
      <c r="D108" s="80">
        <f>' PRIHODI I RASHODI-izvori'!E296+' PRIHODI I RASHODI-izvori'!E148</f>
        <v>0</v>
      </c>
      <c r="E108" s="80">
        <f>' PRIHODI I RASHODI-izvori'!F296+' PRIHODI I RASHODI-izvori'!F148</f>
        <v>0</v>
      </c>
      <c r="F108" s="80"/>
      <c r="G108" s="80">
        <f>' PRIHODI I RASHODI-izvori'!H296+' PRIHODI I RASHODI-izvori'!H148</f>
        <v>0</v>
      </c>
      <c r="H108" s="80">
        <f>' PRIHODI I RASHODI-izvori'!I296+' PRIHODI I RASHODI-izvori'!I148</f>
        <v>0</v>
      </c>
      <c r="I108" s="80">
        <f>' PRIHODI I RASHODI-izvori'!J296+' PRIHODI I RASHODI-izvori'!J148</f>
        <v>0</v>
      </c>
    </row>
    <row r="109" spans="1:9" hidden="1" x14ac:dyDescent="0.25">
      <c r="A109" s="38"/>
      <c r="B109" s="82">
        <v>32229</v>
      </c>
      <c r="C109" s="82" t="s">
        <v>417</v>
      </c>
      <c r="D109" s="80">
        <f>' PRIHODI I RASHODI-izvori'!E297</f>
        <v>0</v>
      </c>
      <c r="E109" s="80">
        <f>' PRIHODI I RASHODI-izvori'!F297</f>
        <v>0</v>
      </c>
      <c r="F109" s="80"/>
      <c r="G109" s="80">
        <f>' PRIHODI I RASHODI-izvori'!H297</f>
        <v>0</v>
      </c>
      <c r="H109" s="80">
        <f>' PRIHODI I RASHODI-izvori'!I297</f>
        <v>0</v>
      </c>
      <c r="I109" s="80">
        <f>' PRIHODI I RASHODI-izvori'!J297</f>
        <v>0</v>
      </c>
    </row>
    <row r="110" spans="1:9" x14ac:dyDescent="0.25">
      <c r="A110" s="38"/>
      <c r="B110" s="83">
        <v>3223</v>
      </c>
      <c r="C110" s="83" t="s">
        <v>116</v>
      </c>
      <c r="D110" s="84" t="e">
        <f t="shared" ref="D110:I110" si="31">SUM(D111:D114)</f>
        <v>#REF!</v>
      </c>
      <c r="E110" s="84" t="e">
        <f t="shared" si="31"/>
        <v>#REF!</v>
      </c>
      <c r="F110" s="84">
        <f t="shared" ref="F110" si="32">SUM(F111:F114)</f>
        <v>340505.36</v>
      </c>
      <c r="G110" s="84">
        <f t="shared" si="31"/>
        <v>340505.36</v>
      </c>
      <c r="H110" s="84">
        <f t="shared" si="31"/>
        <v>348500</v>
      </c>
      <c r="I110" s="84">
        <f t="shared" si="31"/>
        <v>357050</v>
      </c>
    </row>
    <row r="111" spans="1:9" x14ac:dyDescent="0.25">
      <c r="A111" s="38"/>
      <c r="B111" s="82">
        <v>32231</v>
      </c>
      <c r="C111" s="82" t="s">
        <v>419</v>
      </c>
      <c r="D111" s="80" t="e">
        <f>' PRIHODI I RASHODI-izvori'!E299+' PRIHODI I RASHODI-izvori'!E37</f>
        <v>#REF!</v>
      </c>
      <c r="E111" s="80" t="e">
        <f>' PRIHODI I RASHODI-izvori'!F299+' PRIHODI I RASHODI-izvori'!F37</f>
        <v>#REF!</v>
      </c>
      <c r="F111" s="80">
        <f>' PRIHODI I RASHODI-izvori'!G299+' PRIHODI I RASHODI-izvori'!G37</f>
        <v>142000</v>
      </c>
      <c r="G111" s="80">
        <f>' PRIHODI I RASHODI-izvori'!H299+' PRIHODI I RASHODI-izvori'!H37</f>
        <v>142000</v>
      </c>
      <c r="H111" s="80">
        <f>' PRIHODI I RASHODI-izvori'!I299+' PRIHODI I RASHODI-izvori'!I37</f>
        <v>144000</v>
      </c>
      <c r="I111" s="80">
        <f>' PRIHODI I RASHODI-izvori'!J299+' PRIHODI I RASHODI-izvori'!J37</f>
        <v>146000</v>
      </c>
    </row>
    <row r="112" spans="1:9" x14ac:dyDescent="0.25">
      <c r="A112" s="38"/>
      <c r="B112" s="82">
        <v>32232</v>
      </c>
      <c r="C112" s="82" t="s">
        <v>420</v>
      </c>
      <c r="D112" s="80">
        <f>' PRIHODI I RASHODI-izvori'!E300</f>
        <v>0</v>
      </c>
      <c r="E112" s="80">
        <f>' PRIHODI I RASHODI-izvori'!F300</f>
        <v>0</v>
      </c>
      <c r="F112" s="80">
        <f>' PRIHODI I RASHODI-izvori'!G300</f>
        <v>2200</v>
      </c>
      <c r="G112" s="80">
        <f>' PRIHODI I RASHODI-izvori'!H300</f>
        <v>2200</v>
      </c>
      <c r="H112" s="80">
        <f>' PRIHODI I RASHODI-izvori'!I300</f>
        <v>2500</v>
      </c>
      <c r="I112" s="80">
        <f>' PRIHODI I RASHODI-izvori'!J300</f>
        <v>2800</v>
      </c>
    </row>
    <row r="113" spans="1:9" x14ac:dyDescent="0.25">
      <c r="A113" s="38"/>
      <c r="B113" s="82">
        <v>32233</v>
      </c>
      <c r="C113" s="82" t="s">
        <v>421</v>
      </c>
      <c r="D113" s="80" t="e">
        <f>' PRIHODI I RASHODI-izvori'!E301+' PRIHODI I RASHODI-izvori'!E150+' PRIHODI I RASHODI-izvori'!E38</f>
        <v>#REF!</v>
      </c>
      <c r="E113" s="80" t="e">
        <f>' PRIHODI I RASHODI-izvori'!F301+' PRIHODI I RASHODI-izvori'!F150+' PRIHODI I RASHODI-izvori'!F38</f>
        <v>#REF!</v>
      </c>
      <c r="F113" s="80">
        <f>' PRIHODI I RASHODI-izvori'!G301+' PRIHODI I RASHODI-izvori'!G150+' PRIHODI I RASHODI-izvori'!G38</f>
        <v>148500</v>
      </c>
      <c r="G113" s="80">
        <f>' PRIHODI I RASHODI-izvori'!H301+' PRIHODI I RASHODI-izvori'!H150+' PRIHODI I RASHODI-izvori'!H38</f>
        <v>148500</v>
      </c>
      <c r="H113" s="80">
        <f>' PRIHODI I RASHODI-izvori'!I301+' PRIHODI I RASHODI-izvori'!I150+' PRIHODI I RASHODI-izvori'!I38</f>
        <v>153500</v>
      </c>
      <c r="I113" s="80">
        <f>' PRIHODI I RASHODI-izvori'!J301+' PRIHODI I RASHODI-izvori'!J150+' PRIHODI I RASHODI-izvori'!J38</f>
        <v>158500</v>
      </c>
    </row>
    <row r="114" spans="1:9" x14ac:dyDescent="0.25">
      <c r="A114" s="38"/>
      <c r="B114" s="82">
        <v>32234</v>
      </c>
      <c r="C114" s="82" t="s">
        <v>418</v>
      </c>
      <c r="D114" s="80">
        <f>' PRIHODI I RASHODI-izvori'!E302+' PRIHODI I RASHODI-izvori'!E151+' PRIHODI I RASHODI-izvori'!E479+' PRIHODI I RASHODI-izvori'!E39</f>
        <v>0</v>
      </c>
      <c r="E114" s="80">
        <f>' PRIHODI I RASHODI-izvori'!F302+' PRIHODI I RASHODI-izvori'!F151+' PRIHODI I RASHODI-izvori'!F479+' PRIHODI I RASHODI-izvori'!F39</f>
        <v>0</v>
      </c>
      <c r="F114" s="80">
        <f>' PRIHODI I RASHODI-izvori'!G39+' PRIHODI I RASHODI-izvori'!G151+' PRIHODI I RASHODI-izvori'!G302+' PRIHODI I RASHODI-izvori'!G479</f>
        <v>47805.36</v>
      </c>
      <c r="G114" s="80">
        <f>' PRIHODI I RASHODI-izvori'!H39+' PRIHODI I RASHODI-izvori'!H151+' PRIHODI I RASHODI-izvori'!H302+' PRIHODI I RASHODI-izvori'!H479</f>
        <v>47805.36</v>
      </c>
      <c r="H114" s="80">
        <f>' PRIHODI I RASHODI-izvori'!I39+' PRIHODI I RASHODI-izvori'!I151+' PRIHODI I RASHODI-izvori'!I302+' PRIHODI I RASHODI-izvori'!I479</f>
        <v>48500</v>
      </c>
      <c r="I114" s="80">
        <f>' PRIHODI I RASHODI-izvori'!J39+' PRIHODI I RASHODI-izvori'!J151+' PRIHODI I RASHODI-izvori'!J302+' PRIHODI I RASHODI-izvori'!J479</f>
        <v>49750</v>
      </c>
    </row>
    <row r="115" spans="1:9" x14ac:dyDescent="0.25">
      <c r="A115" s="38"/>
      <c r="B115" s="83">
        <v>3224</v>
      </c>
      <c r="C115" s="83" t="s">
        <v>290</v>
      </c>
      <c r="D115" s="84" t="e">
        <f t="shared" ref="D115:I115" si="33">SUM(D116:D119)</f>
        <v>#REF!</v>
      </c>
      <c r="E115" s="84" t="e">
        <f t="shared" si="33"/>
        <v>#REF!</v>
      </c>
      <c r="F115" s="84">
        <f t="shared" ref="F115" si="34">SUM(F116:F119)</f>
        <v>30050</v>
      </c>
      <c r="G115" s="84">
        <f t="shared" si="33"/>
        <v>19742.099999999999</v>
      </c>
      <c r="H115" s="84">
        <f t="shared" si="33"/>
        <v>21492.1</v>
      </c>
      <c r="I115" s="84">
        <f t="shared" si="33"/>
        <v>23242.1</v>
      </c>
    </row>
    <row r="116" spans="1:9" x14ac:dyDescent="0.25">
      <c r="A116" s="38"/>
      <c r="B116" s="82">
        <v>32241</v>
      </c>
      <c r="C116" s="82" t="s">
        <v>422</v>
      </c>
      <c r="D116" s="80" t="e">
        <f>' PRIHODI I RASHODI-izvori'!E41+' PRIHODI I RASHODI-izvori'!E304+' PRIHODI I RASHODI-izvori'!E563</f>
        <v>#REF!</v>
      </c>
      <c r="E116" s="80" t="e">
        <f>' PRIHODI I RASHODI-izvori'!F41+' PRIHODI I RASHODI-izvori'!F304+' PRIHODI I RASHODI-izvori'!F563</f>
        <v>#REF!</v>
      </c>
      <c r="F116" s="80">
        <f>' PRIHODI I RASHODI-izvori'!G41+' PRIHODI I RASHODI-izvori'!G304+' PRIHODI I RASHODI-izvori'!G563</f>
        <v>17500</v>
      </c>
      <c r="G116" s="80">
        <f>' PRIHODI I RASHODI-izvori'!H41+' PRIHODI I RASHODI-izvori'!H304+' PRIHODI I RASHODI-izvori'!H563</f>
        <v>7192.1</v>
      </c>
      <c r="H116" s="80">
        <f>' PRIHODI I RASHODI-izvori'!I41+' PRIHODI I RASHODI-izvori'!I304+' PRIHODI I RASHODI-izvori'!I563</f>
        <v>7692.1</v>
      </c>
      <c r="I116" s="80">
        <f>' PRIHODI I RASHODI-izvori'!J41+' PRIHODI I RASHODI-izvori'!J304+' PRIHODI I RASHODI-izvori'!J563</f>
        <v>8192.1</v>
      </c>
    </row>
    <row r="117" spans="1:9" x14ac:dyDescent="0.25">
      <c r="A117" s="38"/>
      <c r="B117" s="82">
        <v>32242</v>
      </c>
      <c r="C117" s="82" t="s">
        <v>424</v>
      </c>
      <c r="D117" s="80" t="e">
        <f>' PRIHODI I RASHODI-izvori'!E305+' PRIHODI I RASHODI-izvori'!E42</f>
        <v>#REF!</v>
      </c>
      <c r="E117" s="80" t="e">
        <f>' PRIHODI I RASHODI-izvori'!F305+' PRIHODI I RASHODI-izvori'!F42</f>
        <v>#REF!</v>
      </c>
      <c r="F117" s="80">
        <f>' PRIHODI I RASHODI-izvori'!G305+' PRIHODI I RASHODI-izvori'!G42</f>
        <v>2750</v>
      </c>
      <c r="G117" s="80">
        <f>' PRIHODI I RASHODI-izvori'!H305+' PRIHODI I RASHODI-izvori'!H42</f>
        <v>2750</v>
      </c>
      <c r="H117" s="80">
        <f>' PRIHODI I RASHODI-izvori'!I305+' PRIHODI I RASHODI-izvori'!I42</f>
        <v>3000</v>
      </c>
      <c r="I117" s="80">
        <f>' PRIHODI I RASHODI-izvori'!J305+' PRIHODI I RASHODI-izvori'!J42</f>
        <v>3250</v>
      </c>
    </row>
    <row r="118" spans="1:9" x14ac:dyDescent="0.25">
      <c r="A118" s="38"/>
      <c r="B118" s="82">
        <v>32243</v>
      </c>
      <c r="C118" s="82" t="s">
        <v>423</v>
      </c>
      <c r="D118" s="80">
        <f>' PRIHODI I RASHODI-izvori'!E306</f>
        <v>0</v>
      </c>
      <c r="E118" s="80">
        <f>' PRIHODI I RASHODI-izvori'!F306</f>
        <v>0</v>
      </c>
      <c r="F118" s="80">
        <f>' PRIHODI I RASHODI-izvori'!G306</f>
        <v>6500</v>
      </c>
      <c r="G118" s="80">
        <f>' PRIHODI I RASHODI-izvori'!H306</f>
        <v>6500</v>
      </c>
      <c r="H118" s="80">
        <f>' PRIHODI I RASHODI-izvori'!I306</f>
        <v>7000</v>
      </c>
      <c r="I118" s="80">
        <f>' PRIHODI I RASHODI-izvori'!J306</f>
        <v>7500</v>
      </c>
    </row>
    <row r="119" spans="1:9" x14ac:dyDescent="0.25">
      <c r="A119" s="38"/>
      <c r="B119" s="82">
        <v>32244</v>
      </c>
      <c r="C119" s="82" t="s">
        <v>425</v>
      </c>
      <c r="D119" s="80" t="e">
        <f>' PRIHODI I RASHODI-izvori'!E307+' PRIHODI I RASHODI-izvori'!E43</f>
        <v>#REF!</v>
      </c>
      <c r="E119" s="80" t="e">
        <f>' PRIHODI I RASHODI-izvori'!F307+' PRIHODI I RASHODI-izvori'!F43</f>
        <v>#REF!</v>
      </c>
      <c r="F119" s="80">
        <f>' PRIHODI I RASHODI-izvori'!G307+' PRIHODI I RASHODI-izvori'!G43</f>
        <v>3300</v>
      </c>
      <c r="G119" s="80">
        <f>' PRIHODI I RASHODI-izvori'!H307+' PRIHODI I RASHODI-izvori'!H43</f>
        <v>3300</v>
      </c>
      <c r="H119" s="80">
        <f>' PRIHODI I RASHODI-izvori'!I307+' PRIHODI I RASHODI-izvori'!I43</f>
        <v>3800</v>
      </c>
      <c r="I119" s="80">
        <f>' PRIHODI I RASHODI-izvori'!J307+' PRIHODI I RASHODI-izvori'!J43</f>
        <v>4300</v>
      </c>
    </row>
    <row r="120" spans="1:9" x14ac:dyDescent="0.25">
      <c r="A120" s="38"/>
      <c r="B120" s="83">
        <v>3225</v>
      </c>
      <c r="C120" s="83" t="s">
        <v>120</v>
      </c>
      <c r="D120" s="84">
        <f t="shared" ref="D120" si="35">SUM(D121:D122)</f>
        <v>0</v>
      </c>
      <c r="E120" s="84">
        <f t="shared" ref="E120" si="36">SUM(E121:E122)</f>
        <v>0</v>
      </c>
      <c r="F120" s="84">
        <f>SUM(F121:F122)</f>
        <v>16500</v>
      </c>
      <c r="G120" s="84">
        <f>SUM(G121:G122)</f>
        <v>16500</v>
      </c>
      <c r="H120" s="84">
        <f t="shared" ref="H120:I120" si="37">SUM(H121:H122)</f>
        <v>19000</v>
      </c>
      <c r="I120" s="84">
        <f t="shared" si="37"/>
        <v>21500</v>
      </c>
    </row>
    <row r="121" spans="1:9" x14ac:dyDescent="0.25">
      <c r="A121" s="38"/>
      <c r="B121" s="82">
        <v>32251</v>
      </c>
      <c r="C121" s="82" t="s">
        <v>120</v>
      </c>
      <c r="D121" s="80">
        <f>' PRIHODI I RASHODI-izvori'!E309+' PRIHODI I RASHODI-izvori'!E155</f>
        <v>0</v>
      </c>
      <c r="E121" s="80">
        <f>' PRIHODI I RASHODI-izvori'!F309+' PRIHODI I RASHODI-izvori'!F155</f>
        <v>0</v>
      </c>
      <c r="F121" s="80">
        <f>' PRIHODI I RASHODI-izvori'!G309+' PRIHODI I RASHODI-izvori'!G155</f>
        <v>13000</v>
      </c>
      <c r="G121" s="80">
        <f>' PRIHODI I RASHODI-izvori'!H309+' PRIHODI I RASHODI-izvori'!H155</f>
        <v>13000</v>
      </c>
      <c r="H121" s="80">
        <f>' PRIHODI I RASHODI-izvori'!I309+' PRIHODI I RASHODI-izvori'!I155</f>
        <v>15000</v>
      </c>
      <c r="I121" s="80">
        <f>' PRIHODI I RASHODI-izvori'!J309+' PRIHODI I RASHODI-izvori'!J155</f>
        <v>17000</v>
      </c>
    </row>
    <row r="122" spans="1:9" x14ac:dyDescent="0.25">
      <c r="A122" s="38"/>
      <c r="B122" s="82">
        <v>32252</v>
      </c>
      <c r="C122" s="82" t="s">
        <v>597</v>
      </c>
      <c r="D122" s="80">
        <f>' PRIHODI I RASHODI-izvori'!E310+' PRIHODI I RASHODI-izvori'!E156</f>
        <v>0</v>
      </c>
      <c r="E122" s="80">
        <f>' PRIHODI I RASHODI-izvori'!F310+' PRIHODI I RASHODI-izvori'!F156</f>
        <v>0</v>
      </c>
      <c r="F122" s="80">
        <f>' PRIHODI I RASHODI-izvori'!G310+' PRIHODI I RASHODI-izvori'!G156</f>
        <v>3500</v>
      </c>
      <c r="G122" s="80">
        <f>' PRIHODI I RASHODI-izvori'!H310+' PRIHODI I RASHODI-izvori'!H156</f>
        <v>3500</v>
      </c>
      <c r="H122" s="80">
        <f>' PRIHODI I RASHODI-izvori'!I310+' PRIHODI I RASHODI-izvori'!I156</f>
        <v>4000</v>
      </c>
      <c r="I122" s="80">
        <f>' PRIHODI I RASHODI-izvori'!J310+' PRIHODI I RASHODI-izvori'!J156</f>
        <v>4500</v>
      </c>
    </row>
    <row r="123" spans="1:9" x14ac:dyDescent="0.25">
      <c r="A123" s="38"/>
      <c r="B123" s="83">
        <v>3227</v>
      </c>
      <c r="C123" s="83" t="s">
        <v>122</v>
      </c>
      <c r="D123" s="84">
        <f t="shared" ref="D123:I123" si="38">SUM(D124)</f>
        <v>0</v>
      </c>
      <c r="E123" s="84">
        <f t="shared" si="38"/>
        <v>0</v>
      </c>
      <c r="F123" s="84">
        <f t="shared" si="38"/>
        <v>5500</v>
      </c>
      <c r="G123" s="84">
        <f t="shared" si="38"/>
        <v>5500</v>
      </c>
      <c r="H123" s="84">
        <f t="shared" si="38"/>
        <v>6500</v>
      </c>
      <c r="I123" s="84">
        <f t="shared" si="38"/>
        <v>7500</v>
      </c>
    </row>
    <row r="124" spans="1:9" x14ac:dyDescent="0.25">
      <c r="A124" s="38"/>
      <c r="B124" s="82">
        <v>32271</v>
      </c>
      <c r="C124" s="82" t="s">
        <v>122</v>
      </c>
      <c r="D124" s="80">
        <f>' PRIHODI I RASHODI-izvori'!E312</f>
        <v>0</v>
      </c>
      <c r="E124" s="80">
        <f>' PRIHODI I RASHODI-izvori'!F312</f>
        <v>0</v>
      </c>
      <c r="F124" s="80">
        <f>' PRIHODI I RASHODI-izvori'!G312</f>
        <v>5500</v>
      </c>
      <c r="G124" s="80">
        <f>' PRIHODI I RASHODI-izvori'!H312</f>
        <v>5500</v>
      </c>
      <c r="H124" s="80">
        <f>' PRIHODI I RASHODI-izvori'!I312</f>
        <v>6500</v>
      </c>
      <c r="I124" s="80">
        <f>' PRIHODI I RASHODI-izvori'!J312</f>
        <v>7500</v>
      </c>
    </row>
    <row r="125" spans="1:9" x14ac:dyDescent="0.25">
      <c r="A125" s="38"/>
      <c r="B125" s="83">
        <v>323</v>
      </c>
      <c r="C125" s="83" t="s">
        <v>124</v>
      </c>
      <c r="D125" s="84" t="e">
        <f t="shared" ref="D125:I125" si="39">D126+D130+D135+D138+D147+D151+D156+D161+D164</f>
        <v>#REF!</v>
      </c>
      <c r="E125" s="84" t="e">
        <f t="shared" si="39"/>
        <v>#REF!</v>
      </c>
      <c r="F125" s="84">
        <f t="shared" ref="F125" si="40">F126+F130+F135+F138+F147+F151+F156+F161+F164</f>
        <v>1639152.26</v>
      </c>
      <c r="G125" s="84">
        <f t="shared" si="39"/>
        <v>1526585.1699999997</v>
      </c>
      <c r="H125" s="84">
        <f t="shared" si="39"/>
        <v>1564496.9899999998</v>
      </c>
      <c r="I125" s="84">
        <f t="shared" si="39"/>
        <v>1603647.99</v>
      </c>
    </row>
    <row r="126" spans="1:9" x14ac:dyDescent="0.25">
      <c r="A126" s="38"/>
      <c r="B126" s="83">
        <v>3231</v>
      </c>
      <c r="C126" s="83" t="s">
        <v>291</v>
      </c>
      <c r="D126" s="84" t="e">
        <f>SUM(D127:D129)</f>
        <v>#REF!</v>
      </c>
      <c r="E126" s="84" t="e">
        <f t="shared" ref="E126:I126" si="41">SUM(E127:E129)</f>
        <v>#REF!</v>
      </c>
      <c r="F126" s="84">
        <f t="shared" ref="F126" si="42">SUM(F127:F129)</f>
        <v>83850</v>
      </c>
      <c r="G126" s="84">
        <f t="shared" si="41"/>
        <v>83850</v>
      </c>
      <c r="H126" s="84">
        <f t="shared" si="41"/>
        <v>86800</v>
      </c>
      <c r="I126" s="84">
        <f t="shared" si="41"/>
        <v>90650</v>
      </c>
    </row>
    <row r="127" spans="1:9" x14ac:dyDescent="0.25">
      <c r="A127" s="38"/>
      <c r="B127" s="82">
        <v>32311</v>
      </c>
      <c r="C127" s="82" t="s">
        <v>426</v>
      </c>
      <c r="D127" s="80" t="e">
        <f>' PRIHODI I RASHODI-izvori'!E46+' PRIHODI I RASHODI-izvori'!E315+' PRIHODI I RASHODI-izvori'!E161</f>
        <v>#REF!</v>
      </c>
      <c r="E127" s="80" t="e">
        <f>' PRIHODI I RASHODI-izvori'!F46+' PRIHODI I RASHODI-izvori'!F315+' PRIHODI I RASHODI-izvori'!F161</f>
        <v>#REF!</v>
      </c>
      <c r="F127" s="80">
        <f>' PRIHODI I RASHODI-izvori'!G161+' PRIHODI I RASHODI-izvori'!G315</f>
        <v>73000</v>
      </c>
      <c r="G127" s="80">
        <f>' PRIHODI I RASHODI-izvori'!H161+' PRIHODI I RASHODI-izvori'!H315</f>
        <v>73000</v>
      </c>
      <c r="H127" s="80">
        <f>' PRIHODI I RASHODI-izvori'!I161+' PRIHODI I RASHODI-izvori'!I315</f>
        <v>76000</v>
      </c>
      <c r="I127" s="80">
        <f>' PRIHODI I RASHODI-izvori'!J161+' PRIHODI I RASHODI-izvori'!J315</f>
        <v>79000</v>
      </c>
    </row>
    <row r="128" spans="1:9" x14ac:dyDescent="0.25">
      <c r="A128" s="38"/>
      <c r="B128" s="100">
        <v>32313</v>
      </c>
      <c r="C128" s="100" t="s">
        <v>427</v>
      </c>
      <c r="D128" s="80">
        <f>' PRIHODI I RASHODI-izvori'!E316+' PRIHODI I RASHODI-izvori'!E162</f>
        <v>0</v>
      </c>
      <c r="E128" s="80">
        <f>' PRIHODI I RASHODI-izvori'!F316+' PRIHODI I RASHODI-izvori'!F162</f>
        <v>0</v>
      </c>
      <c r="F128" s="80">
        <f>' PRIHODI I RASHODI-izvori'!G316+' PRIHODI I RASHODI-izvori'!G162</f>
        <v>5000</v>
      </c>
      <c r="G128" s="80">
        <f>' PRIHODI I RASHODI-izvori'!H316+' PRIHODI I RASHODI-izvori'!H162</f>
        <v>5000</v>
      </c>
      <c r="H128" s="80">
        <f>' PRIHODI I RASHODI-izvori'!I316+' PRIHODI I RASHODI-izvori'!I162</f>
        <v>5300</v>
      </c>
      <c r="I128" s="80">
        <f>' PRIHODI I RASHODI-izvori'!J316+' PRIHODI I RASHODI-izvori'!J162</f>
        <v>5600</v>
      </c>
    </row>
    <row r="129" spans="1:9" x14ac:dyDescent="0.25">
      <c r="A129" s="38"/>
      <c r="B129" s="74">
        <v>32319</v>
      </c>
      <c r="C129" s="100" t="s">
        <v>562</v>
      </c>
      <c r="D129" s="80">
        <f>' PRIHODI I RASHODI-izvori'!E317+' PRIHODI I RASHODI-izvori'!E482+' PRIHODI I RASHODI-izvori'!E163</f>
        <v>0</v>
      </c>
      <c r="E129" s="80">
        <f>' PRIHODI I RASHODI-izvori'!F317+' PRIHODI I RASHODI-izvori'!F482+' PRIHODI I RASHODI-izvori'!F163</f>
        <v>0</v>
      </c>
      <c r="F129" s="80">
        <f>' PRIHODI I RASHODI-izvori'!G317+' PRIHODI I RASHODI-izvori'!G482+' PRIHODI I RASHODI-izvori'!G163</f>
        <v>5850</v>
      </c>
      <c r="G129" s="80">
        <f>' PRIHODI I RASHODI-izvori'!H317+' PRIHODI I RASHODI-izvori'!H482+' PRIHODI I RASHODI-izvori'!H163</f>
        <v>5850</v>
      </c>
      <c r="H129" s="80">
        <f>' PRIHODI I RASHODI-izvori'!I317+' PRIHODI I RASHODI-izvori'!I482+' PRIHODI I RASHODI-izvori'!I163</f>
        <v>5500</v>
      </c>
      <c r="I129" s="80">
        <f>' PRIHODI I RASHODI-izvori'!J317+' PRIHODI I RASHODI-izvori'!J482+' PRIHODI I RASHODI-izvori'!J163</f>
        <v>6050</v>
      </c>
    </row>
    <row r="130" spans="1:9" x14ac:dyDescent="0.25">
      <c r="A130" s="38"/>
      <c r="B130" s="101">
        <v>3232</v>
      </c>
      <c r="C130" s="101" t="s">
        <v>128</v>
      </c>
      <c r="D130" s="84" t="e">
        <f>SUM(D131:D134)</f>
        <v>#REF!</v>
      </c>
      <c r="E130" s="84" t="e">
        <f t="shared" ref="E130:I130" si="43">SUM(E131:E134)</f>
        <v>#REF!</v>
      </c>
      <c r="F130" s="84">
        <f t="shared" ref="F130" si="44">SUM(F131:F134)</f>
        <v>362592.58</v>
      </c>
      <c r="G130" s="84">
        <f t="shared" si="43"/>
        <v>271461.32</v>
      </c>
      <c r="H130" s="84">
        <f t="shared" si="43"/>
        <v>277461.32</v>
      </c>
      <c r="I130" s="84">
        <f t="shared" si="43"/>
        <v>283461.32</v>
      </c>
    </row>
    <row r="131" spans="1:9" x14ac:dyDescent="0.25">
      <c r="A131" s="38"/>
      <c r="B131" s="100">
        <v>32321</v>
      </c>
      <c r="C131" s="82" t="s">
        <v>429</v>
      </c>
      <c r="D131" s="80" t="e">
        <f>' PRIHODI I RASHODI-izvori'!E48+' PRIHODI I RASHODI-izvori'!E319+' PRIHODI I RASHODI-izvori'!E165+' PRIHODI I RASHODI-izvori'!E567</f>
        <v>#REF!</v>
      </c>
      <c r="E131" s="80" t="e">
        <f>' PRIHODI I RASHODI-izvori'!F48+' PRIHODI I RASHODI-izvori'!F319+' PRIHODI I RASHODI-izvori'!F165+' PRIHODI I RASHODI-izvori'!F567</f>
        <v>#REF!</v>
      </c>
      <c r="F131" s="80">
        <f>' PRIHODI I RASHODI-izvori'!G48+' PRIHODI I RASHODI-izvori'!G319+' PRIHODI I RASHODI-izvori'!G165+' PRIHODI I RASHODI-izvori'!G567</f>
        <v>108500</v>
      </c>
      <c r="G131" s="80">
        <f>' PRIHODI I RASHODI-izvori'!H48+' PRIHODI I RASHODI-izvori'!H319+' PRIHODI I RASHODI-izvori'!H165+' PRIHODI I RASHODI-izvori'!H567</f>
        <v>245043.74</v>
      </c>
      <c r="H131" s="80">
        <f>' PRIHODI I RASHODI-izvori'!I48+' PRIHODI I RASHODI-izvori'!I319+' PRIHODI I RASHODI-izvori'!I165+' PRIHODI I RASHODI-izvori'!I567</f>
        <v>247293.74</v>
      </c>
      <c r="I131" s="80">
        <f>' PRIHODI I RASHODI-izvori'!J48+' PRIHODI I RASHODI-izvori'!J319+' PRIHODI I RASHODI-izvori'!J165+' PRIHODI I RASHODI-izvori'!J567</f>
        <v>249493.74</v>
      </c>
    </row>
    <row r="132" spans="1:9" x14ac:dyDescent="0.25">
      <c r="A132" s="38"/>
      <c r="B132" s="100">
        <v>32322</v>
      </c>
      <c r="C132" s="82" t="s">
        <v>430</v>
      </c>
      <c r="D132" s="80" t="e">
        <f>' PRIHODI I RASHODI-izvori'!E49+' PRIHODI I RASHODI-izvori'!E320+' PRIHODI I RASHODI-izvori'!E166</f>
        <v>#REF!</v>
      </c>
      <c r="E132" s="80" t="e">
        <f>' PRIHODI I RASHODI-izvori'!F49+' PRIHODI I RASHODI-izvori'!F320+' PRIHODI I RASHODI-izvori'!F166</f>
        <v>#REF!</v>
      </c>
      <c r="F132" s="80">
        <f>' PRIHODI I RASHODI-izvori'!G49+' PRIHODI I RASHODI-izvori'!G320+' PRIHODI I RASHODI-izvori'!G166</f>
        <v>189425</v>
      </c>
      <c r="G132" s="80">
        <f>' PRIHODI I RASHODI-izvori'!H49+' PRIHODI I RASHODI-izvori'!H320+' PRIHODI I RASHODI-izvori'!H166</f>
        <v>11750</v>
      </c>
      <c r="H132" s="80">
        <f>' PRIHODI I RASHODI-izvori'!I49+' PRIHODI I RASHODI-izvori'!I320+' PRIHODI I RASHODI-izvori'!I166</f>
        <v>13750</v>
      </c>
      <c r="I132" s="80">
        <f>' PRIHODI I RASHODI-izvori'!J49+' PRIHODI I RASHODI-izvori'!J320+' PRIHODI I RASHODI-izvori'!J166</f>
        <v>15750</v>
      </c>
    </row>
    <row r="133" spans="1:9" x14ac:dyDescent="0.25">
      <c r="A133" s="38"/>
      <c r="B133" s="82">
        <v>32323</v>
      </c>
      <c r="C133" s="82" t="s">
        <v>428</v>
      </c>
      <c r="D133" s="80" t="e">
        <f>' PRIHODI I RASHODI-izvori'!E50+' PRIHODI I RASHODI-izvori'!E321+' PRIHODI I RASHODI-izvori'!E167</f>
        <v>#REF!</v>
      </c>
      <c r="E133" s="80" t="e">
        <f>' PRIHODI I RASHODI-izvori'!F50+' PRIHODI I RASHODI-izvori'!F321+' PRIHODI I RASHODI-izvori'!F167</f>
        <v>#REF!</v>
      </c>
      <c r="F133" s="80">
        <f>' PRIHODI I RASHODI-izvori'!G50+' PRIHODI I RASHODI-izvori'!G321+' PRIHODI I RASHODI-izvori'!G167</f>
        <v>39667.58</v>
      </c>
      <c r="G133" s="80">
        <f>' PRIHODI I RASHODI-izvori'!H50+' PRIHODI I RASHODI-izvori'!H321+' PRIHODI I RASHODI-izvori'!H167</f>
        <v>9667.58</v>
      </c>
      <c r="H133" s="80">
        <f>' PRIHODI I RASHODI-izvori'!I50+' PRIHODI I RASHODI-izvori'!I321+' PRIHODI I RASHODI-izvori'!I167</f>
        <v>10417.580000000002</v>
      </c>
      <c r="I133" s="80">
        <f>' PRIHODI I RASHODI-izvori'!J50+' PRIHODI I RASHODI-izvori'!J321+' PRIHODI I RASHODI-izvori'!J167</f>
        <v>11217.580000000002</v>
      </c>
    </row>
    <row r="134" spans="1:9" x14ac:dyDescent="0.25">
      <c r="A134" s="38"/>
      <c r="B134" s="82">
        <v>32329</v>
      </c>
      <c r="C134" s="82" t="s">
        <v>599</v>
      </c>
      <c r="D134" s="80" t="e">
        <f>' PRIHODI I RASHODI-izvori'!E322+' PRIHODI I RASHODI-izvori'!E51</f>
        <v>#REF!</v>
      </c>
      <c r="E134" s="80" t="e">
        <f>' PRIHODI I RASHODI-izvori'!F322+' PRIHODI I RASHODI-izvori'!F51</f>
        <v>#REF!</v>
      </c>
      <c r="F134" s="80">
        <f>' PRIHODI I RASHODI-izvori'!G322+' PRIHODI I RASHODI-izvori'!G51</f>
        <v>25000</v>
      </c>
      <c r="G134" s="80">
        <f>' PRIHODI I RASHODI-izvori'!H322+' PRIHODI I RASHODI-izvori'!H51</f>
        <v>5000</v>
      </c>
      <c r="H134" s="80">
        <f>' PRIHODI I RASHODI-izvori'!I322+' PRIHODI I RASHODI-izvori'!I51</f>
        <v>6000</v>
      </c>
      <c r="I134" s="80">
        <f>' PRIHODI I RASHODI-izvori'!J322+' PRIHODI I RASHODI-izvori'!J51</f>
        <v>7000</v>
      </c>
    </row>
    <row r="135" spans="1:9" x14ac:dyDescent="0.25">
      <c r="A135" s="38"/>
      <c r="B135" s="83">
        <v>3233</v>
      </c>
      <c r="C135" s="83" t="s">
        <v>130</v>
      </c>
      <c r="D135" s="84" t="e">
        <f>SUM(D136:D137)</f>
        <v>#REF!</v>
      </c>
      <c r="E135" s="84" t="e">
        <f t="shared" ref="E135:I135" si="45">SUM(E136:E137)</f>
        <v>#REF!</v>
      </c>
      <c r="F135" s="84">
        <f t="shared" ref="F135" si="46">SUM(F136:F137)</f>
        <v>5863.6100000000006</v>
      </c>
      <c r="G135" s="84">
        <f t="shared" si="45"/>
        <v>5863.6100000000006</v>
      </c>
      <c r="H135" s="84">
        <f t="shared" si="45"/>
        <v>5930.6100000000006</v>
      </c>
      <c r="I135" s="84">
        <f t="shared" si="45"/>
        <v>5997.6100000000006</v>
      </c>
    </row>
    <row r="136" spans="1:9" x14ac:dyDescent="0.25">
      <c r="A136" s="54"/>
      <c r="B136" s="82">
        <v>32334</v>
      </c>
      <c r="C136" s="82" t="s">
        <v>630</v>
      </c>
      <c r="D136" s="80" t="e">
        <f>' PRIHODI I RASHODI-izvori'!E169+' PRIHODI I RASHODI-izvori'!#REF!</f>
        <v>#REF!</v>
      </c>
      <c r="E136" s="80" t="e">
        <f>' PRIHODI I RASHODI-izvori'!F169+' PRIHODI I RASHODI-izvori'!#REF!</f>
        <v>#REF!</v>
      </c>
      <c r="F136" s="80">
        <f>' PRIHODI I RASHODI-izvori'!G169+' PRIHODI I RASHODI-izvori'!G510</f>
        <v>3200</v>
      </c>
      <c r="G136" s="80">
        <f>' PRIHODI I RASHODI-izvori'!H169+' PRIHODI I RASHODI-izvori'!H510</f>
        <v>3200</v>
      </c>
      <c r="H136" s="80">
        <f>' PRIHODI I RASHODI-izvori'!I169+' PRIHODI I RASHODI-izvori'!I510</f>
        <v>3267</v>
      </c>
      <c r="I136" s="80">
        <f>' PRIHODI I RASHODI-izvori'!J169+' PRIHODI I RASHODI-izvori'!J510</f>
        <v>3334</v>
      </c>
    </row>
    <row r="137" spans="1:9" x14ac:dyDescent="0.25">
      <c r="A137" s="38"/>
      <c r="B137" s="82">
        <v>32339</v>
      </c>
      <c r="C137" s="82" t="s">
        <v>431</v>
      </c>
      <c r="D137" s="80">
        <f>' PRIHODI I RASHODI-izvori'!E324</f>
        <v>0</v>
      </c>
      <c r="E137" s="80">
        <f>' PRIHODI I RASHODI-izvori'!F324</f>
        <v>0</v>
      </c>
      <c r="F137" s="80">
        <f>' PRIHODI I RASHODI-izvori'!G324</f>
        <v>2663.61</v>
      </c>
      <c r="G137" s="80">
        <f>' PRIHODI I RASHODI-izvori'!H324</f>
        <v>2663.61</v>
      </c>
      <c r="H137" s="80">
        <f>' PRIHODI I RASHODI-izvori'!I324</f>
        <v>2663.61</v>
      </c>
      <c r="I137" s="80">
        <f>' PRIHODI I RASHODI-izvori'!J324</f>
        <v>2663.61</v>
      </c>
    </row>
    <row r="138" spans="1:9" x14ac:dyDescent="0.25">
      <c r="A138" s="38"/>
      <c r="B138" s="83">
        <v>3234</v>
      </c>
      <c r="C138" s="83" t="s">
        <v>132</v>
      </c>
      <c r="D138" s="84">
        <f t="shared" ref="D138:I138" si="47">SUM(D139:D146)</f>
        <v>0</v>
      </c>
      <c r="E138" s="84">
        <f t="shared" si="47"/>
        <v>0</v>
      </c>
      <c r="F138" s="84">
        <f>SUM(F139:F146)</f>
        <v>167950</v>
      </c>
      <c r="G138" s="84">
        <f>SUM(G139:G146)</f>
        <v>167950</v>
      </c>
      <c r="H138" s="84">
        <f t="shared" si="47"/>
        <v>176600</v>
      </c>
      <c r="I138" s="84">
        <f t="shared" si="47"/>
        <v>185050</v>
      </c>
    </row>
    <row r="139" spans="1:9" x14ac:dyDescent="0.25">
      <c r="A139" s="38"/>
      <c r="B139" s="82">
        <v>32341</v>
      </c>
      <c r="C139" s="82" t="s">
        <v>432</v>
      </c>
      <c r="D139" s="80">
        <f>' PRIHODI I RASHODI-izvori'!E326</f>
        <v>0</v>
      </c>
      <c r="E139" s="80">
        <f>' PRIHODI I RASHODI-izvori'!F326</f>
        <v>0</v>
      </c>
      <c r="F139" s="80">
        <f>' PRIHODI I RASHODI-izvori'!G326</f>
        <v>44000</v>
      </c>
      <c r="G139" s="80">
        <f>' PRIHODI I RASHODI-izvori'!H326</f>
        <v>44000</v>
      </c>
      <c r="H139" s="80">
        <f>' PRIHODI I RASHODI-izvori'!I326</f>
        <v>47000</v>
      </c>
      <c r="I139" s="80">
        <f>' PRIHODI I RASHODI-izvori'!J326</f>
        <v>50000</v>
      </c>
    </row>
    <row r="140" spans="1:9" x14ac:dyDescent="0.25">
      <c r="A140" s="38"/>
      <c r="B140" s="82">
        <v>32342</v>
      </c>
      <c r="C140" s="82" t="s">
        <v>433</v>
      </c>
      <c r="D140" s="80">
        <f>' PRIHODI I RASHODI-izvori'!E327</f>
        <v>0</v>
      </c>
      <c r="E140" s="80">
        <f>' PRIHODI I RASHODI-izvori'!F327</f>
        <v>0</v>
      </c>
      <c r="F140" s="80">
        <f>' PRIHODI I RASHODI-izvori'!G327</f>
        <v>68000</v>
      </c>
      <c r="G140" s="80">
        <f>' PRIHODI I RASHODI-izvori'!H327</f>
        <v>68000</v>
      </c>
      <c r="H140" s="80">
        <f>' PRIHODI I RASHODI-izvori'!I327</f>
        <v>70000</v>
      </c>
      <c r="I140" s="80">
        <f>' PRIHODI I RASHODI-izvori'!J327</f>
        <v>72000</v>
      </c>
    </row>
    <row r="141" spans="1:9" x14ac:dyDescent="0.25">
      <c r="A141" s="38"/>
      <c r="B141" s="82">
        <v>32343</v>
      </c>
      <c r="C141" s="82" t="s">
        <v>434</v>
      </c>
      <c r="D141" s="80">
        <f>' PRIHODI I RASHODI-izvori'!E328</f>
        <v>0</v>
      </c>
      <c r="E141" s="80">
        <f>' PRIHODI I RASHODI-izvori'!F328</f>
        <v>0</v>
      </c>
      <c r="F141" s="80">
        <f>' PRIHODI I RASHODI-izvori'!G328</f>
        <v>2800</v>
      </c>
      <c r="G141" s="80">
        <f>' PRIHODI I RASHODI-izvori'!H328</f>
        <v>2800</v>
      </c>
      <c r="H141" s="80">
        <f>' PRIHODI I RASHODI-izvori'!I328</f>
        <v>3300</v>
      </c>
      <c r="I141" s="80">
        <f>' PRIHODI I RASHODI-izvori'!J328</f>
        <v>3800</v>
      </c>
    </row>
    <row r="142" spans="1:9" x14ac:dyDescent="0.25">
      <c r="A142" s="38"/>
      <c r="B142" s="429">
        <v>32344</v>
      </c>
      <c r="C142" s="82" t="s">
        <v>600</v>
      </c>
      <c r="D142" s="80">
        <f>' PRIHODI I RASHODI-izvori'!E329</f>
        <v>0</v>
      </c>
      <c r="E142" s="80">
        <f>' PRIHODI I RASHODI-izvori'!F329</f>
        <v>0</v>
      </c>
      <c r="F142" s="80">
        <f>' PRIHODI I RASHODI-izvori'!G329</f>
        <v>2000</v>
      </c>
      <c r="G142" s="80">
        <f>' PRIHODI I RASHODI-izvori'!H329</f>
        <v>2000</v>
      </c>
      <c r="H142" s="80">
        <f>' PRIHODI I RASHODI-izvori'!I329</f>
        <v>2500</v>
      </c>
      <c r="I142" s="80">
        <f>' PRIHODI I RASHODI-izvori'!J329</f>
        <v>3000</v>
      </c>
    </row>
    <row r="143" spans="1:9" x14ac:dyDescent="0.25">
      <c r="A143" s="38"/>
      <c r="B143" s="429">
        <v>32345</v>
      </c>
      <c r="C143" s="82" t="s">
        <v>604</v>
      </c>
      <c r="D143" s="80">
        <f>' PRIHODI I RASHODI-izvori'!E330</f>
        <v>0</v>
      </c>
      <c r="E143" s="80">
        <f>' PRIHODI I RASHODI-izvori'!F330</f>
        <v>0</v>
      </c>
      <c r="F143" s="80">
        <f>' PRIHODI I RASHODI-izvori'!G330</f>
        <v>9000</v>
      </c>
      <c r="G143" s="80">
        <f>' PRIHODI I RASHODI-izvori'!H330</f>
        <v>9000</v>
      </c>
      <c r="H143" s="80">
        <f>' PRIHODI I RASHODI-izvori'!I330</f>
        <v>9400</v>
      </c>
      <c r="I143" s="80">
        <f>' PRIHODI I RASHODI-izvori'!J330</f>
        <v>9800</v>
      </c>
    </row>
    <row r="144" spans="1:9" x14ac:dyDescent="0.25">
      <c r="A144" s="38"/>
      <c r="B144" s="429">
        <v>32347</v>
      </c>
      <c r="C144" s="82" t="s">
        <v>605</v>
      </c>
      <c r="D144" s="80">
        <f>' PRIHODI I RASHODI-izvori'!E331+' PRIHODI I RASHODI-izvori'!E592</f>
        <v>0</v>
      </c>
      <c r="E144" s="80">
        <f>' PRIHODI I RASHODI-izvori'!F331+' PRIHODI I RASHODI-izvori'!F592</f>
        <v>0</v>
      </c>
      <c r="F144" s="80">
        <f>' PRIHODI I RASHODI-izvori'!G331+' PRIHODI I RASHODI-izvori'!G592</f>
        <v>7300</v>
      </c>
      <c r="G144" s="80">
        <f>' PRIHODI I RASHODI-izvori'!H331+' PRIHODI I RASHODI-izvori'!H592</f>
        <v>7300</v>
      </c>
      <c r="H144" s="80">
        <f>' PRIHODI I RASHODI-izvori'!I331+' PRIHODI I RASHODI-izvori'!I592</f>
        <v>8000</v>
      </c>
      <c r="I144" s="80">
        <f>' PRIHODI I RASHODI-izvori'!J331+' PRIHODI I RASHODI-izvori'!J592</f>
        <v>8500</v>
      </c>
    </row>
    <row r="145" spans="1:9" x14ac:dyDescent="0.25">
      <c r="A145" s="38"/>
      <c r="B145" s="429">
        <v>32348</v>
      </c>
      <c r="C145" s="82" t="s">
        <v>606</v>
      </c>
      <c r="D145" s="80">
        <f>' PRIHODI I RASHODI-izvori'!E332</f>
        <v>0</v>
      </c>
      <c r="E145" s="80">
        <f>' PRIHODI I RASHODI-izvori'!F332</f>
        <v>0</v>
      </c>
      <c r="F145" s="80">
        <f>' PRIHODI I RASHODI-izvori'!G332</f>
        <v>150</v>
      </c>
      <c r="G145" s="80">
        <f>' PRIHODI I RASHODI-izvori'!H332</f>
        <v>150</v>
      </c>
      <c r="H145" s="80">
        <f>' PRIHODI I RASHODI-izvori'!I332</f>
        <v>200</v>
      </c>
      <c r="I145" s="80">
        <f>' PRIHODI I RASHODI-izvori'!J332</f>
        <v>250</v>
      </c>
    </row>
    <row r="146" spans="1:9" x14ac:dyDescent="0.25">
      <c r="A146" s="38"/>
      <c r="B146" s="82">
        <v>32349</v>
      </c>
      <c r="C146" s="82" t="s">
        <v>435</v>
      </c>
      <c r="D146" s="80">
        <f>' PRIHODI I RASHODI-izvori'!E333</f>
        <v>0</v>
      </c>
      <c r="E146" s="80">
        <f>' PRIHODI I RASHODI-izvori'!F333</f>
        <v>0</v>
      </c>
      <c r="F146" s="80">
        <f>' PRIHODI I RASHODI-izvori'!G333</f>
        <v>34700</v>
      </c>
      <c r="G146" s="80">
        <f>' PRIHODI I RASHODI-izvori'!H333</f>
        <v>34700</v>
      </c>
      <c r="H146" s="80">
        <f>' PRIHODI I RASHODI-izvori'!I333</f>
        <v>36200</v>
      </c>
      <c r="I146" s="80">
        <f>' PRIHODI I RASHODI-izvori'!J333</f>
        <v>37700</v>
      </c>
    </row>
    <row r="147" spans="1:9" x14ac:dyDescent="0.25">
      <c r="A147" s="38"/>
      <c r="B147" s="83">
        <v>3235</v>
      </c>
      <c r="C147" s="83" t="s">
        <v>133</v>
      </c>
      <c r="D147" s="84">
        <f>SUM(D148:D150)</f>
        <v>0</v>
      </c>
      <c r="E147" s="84">
        <f t="shared" ref="E147:I147" si="48">SUM(E148:E150)</f>
        <v>0</v>
      </c>
      <c r="F147" s="84">
        <f t="shared" ref="F147" si="49">SUM(F148:F150)</f>
        <v>7832.72</v>
      </c>
      <c r="G147" s="84">
        <f t="shared" si="48"/>
        <v>7832.72</v>
      </c>
      <c r="H147" s="84">
        <f t="shared" si="48"/>
        <v>8232.7199999999993</v>
      </c>
      <c r="I147" s="84">
        <f t="shared" si="48"/>
        <v>8632.7199999999993</v>
      </c>
    </row>
    <row r="148" spans="1:9" x14ac:dyDescent="0.25">
      <c r="A148" s="38"/>
      <c r="B148" s="82">
        <v>32353</v>
      </c>
      <c r="C148" s="82" t="s">
        <v>608</v>
      </c>
      <c r="D148" s="80">
        <f>' PRIHODI I RASHODI-izvori'!E335</f>
        <v>0</v>
      </c>
      <c r="E148" s="80">
        <f>' PRIHODI I RASHODI-izvori'!F335</f>
        <v>0</v>
      </c>
      <c r="F148" s="80">
        <f>' PRIHODI I RASHODI-izvori'!G335</f>
        <v>1800</v>
      </c>
      <c r="G148" s="80">
        <f>' PRIHODI I RASHODI-izvori'!H335</f>
        <v>1800</v>
      </c>
      <c r="H148" s="80">
        <f>' PRIHODI I RASHODI-izvori'!I335</f>
        <v>2000</v>
      </c>
      <c r="I148" s="80">
        <f>' PRIHODI I RASHODI-izvori'!J335</f>
        <v>2200</v>
      </c>
    </row>
    <row r="149" spans="1:9" x14ac:dyDescent="0.25">
      <c r="A149" s="38"/>
      <c r="B149" s="82">
        <v>32354</v>
      </c>
      <c r="C149" s="82" t="s">
        <v>609</v>
      </c>
      <c r="D149" s="80">
        <f>' PRIHODI I RASHODI-izvori'!E336</f>
        <v>0</v>
      </c>
      <c r="E149" s="80">
        <f>' PRIHODI I RASHODI-izvori'!F336</f>
        <v>0</v>
      </c>
      <c r="F149" s="80">
        <f>' PRIHODI I RASHODI-izvori'!G336</f>
        <v>5700</v>
      </c>
      <c r="G149" s="80">
        <f>' PRIHODI I RASHODI-izvori'!H336</f>
        <v>5700</v>
      </c>
      <c r="H149" s="80">
        <f>' PRIHODI I RASHODI-izvori'!I336</f>
        <v>5900</v>
      </c>
      <c r="I149" s="80">
        <f>' PRIHODI I RASHODI-izvori'!J336</f>
        <v>6100</v>
      </c>
    </row>
    <row r="150" spans="1:9" x14ac:dyDescent="0.25">
      <c r="A150" s="38"/>
      <c r="B150" s="82">
        <v>32359</v>
      </c>
      <c r="C150" s="82" t="s">
        <v>436</v>
      </c>
      <c r="D150" s="80">
        <f>' PRIHODI I RASHODI-izvori'!E337</f>
        <v>0</v>
      </c>
      <c r="E150" s="80">
        <f>' PRIHODI I RASHODI-izvori'!F337</f>
        <v>0</v>
      </c>
      <c r="F150" s="80">
        <f>' PRIHODI I RASHODI-izvori'!G337</f>
        <v>332.72</v>
      </c>
      <c r="G150" s="80">
        <f>' PRIHODI I RASHODI-izvori'!H337</f>
        <v>332.72</v>
      </c>
      <c r="H150" s="80">
        <f>' PRIHODI I RASHODI-izvori'!I337</f>
        <v>332.72</v>
      </c>
      <c r="I150" s="80">
        <f>' PRIHODI I RASHODI-izvori'!J337</f>
        <v>332.72</v>
      </c>
    </row>
    <row r="151" spans="1:9" x14ac:dyDescent="0.25">
      <c r="A151" s="38"/>
      <c r="B151" s="83">
        <v>3236</v>
      </c>
      <c r="C151" s="83" t="s">
        <v>134</v>
      </c>
      <c r="D151" s="84" t="e">
        <f>SUM(D152:D155)</f>
        <v>#REF!</v>
      </c>
      <c r="E151" s="84" t="e">
        <f t="shared" ref="E151:I151" si="50">SUM(E152:E155)</f>
        <v>#REF!</v>
      </c>
      <c r="F151" s="84">
        <f t="shared" ref="F151" si="51">SUM(F152:F155)</f>
        <v>465654.46</v>
      </c>
      <c r="G151" s="84">
        <f t="shared" si="50"/>
        <v>465654.46</v>
      </c>
      <c r="H151" s="84">
        <f t="shared" si="50"/>
        <v>474154.46</v>
      </c>
      <c r="I151" s="84">
        <f t="shared" si="50"/>
        <v>482654.46</v>
      </c>
    </row>
    <row r="152" spans="1:9" x14ac:dyDescent="0.25">
      <c r="A152" s="54"/>
      <c r="B152" s="82">
        <v>32361</v>
      </c>
      <c r="C152" s="82" t="s">
        <v>612</v>
      </c>
      <c r="D152" s="80">
        <f>' PRIHODI I RASHODI-izvori'!E339</f>
        <v>0</v>
      </c>
      <c r="E152" s="80">
        <f>' PRIHODI I RASHODI-izvori'!F339</f>
        <v>0</v>
      </c>
      <c r="F152" s="80">
        <f>' PRIHODI I RASHODI-izvori'!G339</f>
        <v>4000</v>
      </c>
      <c r="G152" s="80">
        <f>' PRIHODI I RASHODI-izvori'!H339</f>
        <v>4000</v>
      </c>
      <c r="H152" s="80">
        <f>' PRIHODI I RASHODI-izvori'!I339</f>
        <v>5000</v>
      </c>
      <c r="I152" s="80">
        <f>' PRIHODI I RASHODI-izvori'!J339</f>
        <v>6000</v>
      </c>
    </row>
    <row r="153" spans="1:9" x14ac:dyDescent="0.25">
      <c r="A153" s="54"/>
      <c r="B153" s="82">
        <v>32362</v>
      </c>
      <c r="C153" s="82" t="s">
        <v>611</v>
      </c>
      <c r="D153" s="80">
        <f>' PRIHODI I RASHODI-izvori'!E340</f>
        <v>0</v>
      </c>
      <c r="E153" s="80">
        <f>' PRIHODI I RASHODI-izvori'!F340</f>
        <v>0</v>
      </c>
      <c r="F153" s="80">
        <f>' PRIHODI I RASHODI-izvori'!G340</f>
        <v>2000</v>
      </c>
      <c r="G153" s="80">
        <f>' PRIHODI I RASHODI-izvori'!H340</f>
        <v>2000</v>
      </c>
      <c r="H153" s="80">
        <f>' PRIHODI I RASHODI-izvori'!I340</f>
        <v>3000</v>
      </c>
      <c r="I153" s="80">
        <f>' PRIHODI I RASHODI-izvori'!J340</f>
        <v>4000</v>
      </c>
    </row>
    <row r="154" spans="1:9" x14ac:dyDescent="0.25">
      <c r="A154" s="54"/>
      <c r="B154" s="82">
        <v>32363</v>
      </c>
      <c r="C154" s="82" t="s">
        <v>610</v>
      </c>
      <c r="D154" s="80">
        <f>' PRIHODI I RASHODI-izvori'!E341</f>
        <v>0</v>
      </c>
      <c r="E154" s="80">
        <f>' PRIHODI I RASHODI-izvori'!F341</f>
        <v>0</v>
      </c>
      <c r="F154" s="80">
        <f>' PRIHODI I RASHODI-izvori'!G341</f>
        <v>30000</v>
      </c>
      <c r="G154" s="80">
        <f>' PRIHODI I RASHODI-izvori'!H341</f>
        <v>30000</v>
      </c>
      <c r="H154" s="80">
        <f>' PRIHODI I RASHODI-izvori'!I341</f>
        <v>32500</v>
      </c>
      <c r="I154" s="80">
        <f>' PRIHODI I RASHODI-izvori'!J341</f>
        <v>35000</v>
      </c>
    </row>
    <row r="155" spans="1:9" x14ac:dyDescent="0.25">
      <c r="A155" s="38"/>
      <c r="B155" s="82">
        <v>32369</v>
      </c>
      <c r="C155" s="82" t="s">
        <v>437</v>
      </c>
      <c r="D155" s="80" t="e">
        <f>' PRIHODI I RASHODI-izvori'!E342+' PRIHODI I RASHODI-izvori'!E173+' PRIHODI I RASHODI-izvori'!E53</f>
        <v>#REF!</v>
      </c>
      <c r="E155" s="80" t="e">
        <f>' PRIHODI I RASHODI-izvori'!F342+' PRIHODI I RASHODI-izvori'!F173+' PRIHODI I RASHODI-izvori'!F53</f>
        <v>#REF!</v>
      </c>
      <c r="F155" s="80">
        <f>' PRIHODI I RASHODI-izvori'!G342+' PRIHODI I RASHODI-izvori'!G173+' PRIHODI I RASHODI-izvori'!G53</f>
        <v>429654.46</v>
      </c>
      <c r="G155" s="80">
        <f>' PRIHODI I RASHODI-izvori'!H342+' PRIHODI I RASHODI-izvori'!H173+' PRIHODI I RASHODI-izvori'!H53</f>
        <v>429654.46</v>
      </c>
      <c r="H155" s="80">
        <f>' PRIHODI I RASHODI-izvori'!I342+' PRIHODI I RASHODI-izvori'!I173+' PRIHODI I RASHODI-izvori'!I53</f>
        <v>433654.46</v>
      </c>
      <c r="I155" s="80">
        <f>' PRIHODI I RASHODI-izvori'!J342+' PRIHODI I RASHODI-izvori'!J173+' PRIHODI I RASHODI-izvori'!J53</f>
        <v>437654.46</v>
      </c>
    </row>
    <row r="156" spans="1:9" x14ac:dyDescent="0.25">
      <c r="A156" s="38"/>
      <c r="B156" s="83">
        <v>3237</v>
      </c>
      <c r="C156" s="83" t="s">
        <v>135</v>
      </c>
      <c r="D156" s="84" t="e">
        <f t="shared" ref="D156:I156" si="52">SUM(D157:D160)</f>
        <v>#REF!</v>
      </c>
      <c r="E156" s="84" t="e">
        <f t="shared" si="52"/>
        <v>#REF!</v>
      </c>
      <c r="F156" s="84">
        <f t="shared" ref="F156" si="53">SUM(F157:F160)</f>
        <v>347979.38</v>
      </c>
      <c r="G156" s="84">
        <f t="shared" si="52"/>
        <v>347979.38</v>
      </c>
      <c r="H156" s="84">
        <f t="shared" si="52"/>
        <v>354479.38</v>
      </c>
      <c r="I156" s="84">
        <f t="shared" si="52"/>
        <v>361460.64</v>
      </c>
    </row>
    <row r="157" spans="1:9" x14ac:dyDescent="0.25">
      <c r="A157" s="38"/>
      <c r="B157" s="82">
        <v>32372</v>
      </c>
      <c r="C157" s="82" t="s">
        <v>438</v>
      </c>
      <c r="D157" s="80" t="e">
        <f>' PRIHODI I RASHODI-izvori'!E344+' PRIHODI I RASHODI-izvori'!E175+' PRIHODI I RASHODI-izvori'!E484</f>
        <v>#REF!</v>
      </c>
      <c r="E157" s="80" t="e">
        <f>' PRIHODI I RASHODI-izvori'!F344+' PRIHODI I RASHODI-izvori'!F175+' PRIHODI I RASHODI-izvori'!F484</f>
        <v>#REF!</v>
      </c>
      <c r="F157" s="80">
        <f>' PRIHODI I RASHODI-izvori'!G175+' PRIHODI I RASHODI-izvori'!G344+' PRIHODI I RASHODI-izvori'!G484+' PRIHODI I RASHODI-izvori'!G544</f>
        <v>300479.38</v>
      </c>
      <c r="G157" s="80">
        <f>' PRIHODI I RASHODI-izvori'!H175+' PRIHODI I RASHODI-izvori'!H344+' PRIHODI I RASHODI-izvori'!H484+' PRIHODI I RASHODI-izvori'!H544</f>
        <v>300479.38</v>
      </c>
      <c r="H157" s="80">
        <f>' PRIHODI I RASHODI-izvori'!I175+' PRIHODI I RASHODI-izvori'!I344+' PRIHODI I RASHODI-izvori'!I484+' PRIHODI I RASHODI-izvori'!I544</f>
        <v>304479.38</v>
      </c>
      <c r="I157" s="80">
        <f>' PRIHODI I RASHODI-izvori'!J175+' PRIHODI I RASHODI-izvori'!J344+' PRIHODI I RASHODI-izvori'!J484+' PRIHODI I RASHODI-izvori'!J544</f>
        <v>308960.64000000001</v>
      </c>
    </row>
    <row r="158" spans="1:9" x14ac:dyDescent="0.25">
      <c r="A158" s="38"/>
      <c r="B158" s="82">
        <v>32373</v>
      </c>
      <c r="C158" s="82" t="s">
        <v>439</v>
      </c>
      <c r="D158" s="80">
        <f>' PRIHODI I RASHODI-izvori'!E345+' PRIHODI I RASHODI-izvori'!E176</f>
        <v>0</v>
      </c>
      <c r="E158" s="80">
        <f>' PRIHODI I RASHODI-izvori'!F345+' PRIHODI I RASHODI-izvori'!F176</f>
        <v>0</v>
      </c>
      <c r="F158" s="80">
        <f>' PRIHODI I RASHODI-izvori'!G345+' PRIHODI I RASHODI-izvori'!G176</f>
        <v>30000</v>
      </c>
      <c r="G158" s="80">
        <f>' PRIHODI I RASHODI-izvori'!H345+' PRIHODI I RASHODI-izvori'!H176</f>
        <v>30000</v>
      </c>
      <c r="H158" s="80">
        <f>' PRIHODI I RASHODI-izvori'!I345+' PRIHODI I RASHODI-izvori'!I176</f>
        <v>31500</v>
      </c>
      <c r="I158" s="80">
        <f>' PRIHODI I RASHODI-izvori'!J345+' PRIHODI I RASHODI-izvori'!J176</f>
        <v>33000</v>
      </c>
    </row>
    <row r="159" spans="1:9" x14ac:dyDescent="0.25">
      <c r="A159" s="38"/>
      <c r="B159" s="82">
        <v>32375</v>
      </c>
      <c r="C159" s="82" t="s">
        <v>563</v>
      </c>
      <c r="D159" s="80">
        <f>' PRIHODI I RASHODI-izvori'!E346</f>
        <v>0</v>
      </c>
      <c r="E159" s="80">
        <f>' PRIHODI I RASHODI-izvori'!F346</f>
        <v>0</v>
      </c>
      <c r="F159" s="80">
        <f>' PRIHODI I RASHODI-izvori'!G346</f>
        <v>1000</v>
      </c>
      <c r="G159" s="80">
        <f>' PRIHODI I RASHODI-izvori'!H346</f>
        <v>1000</v>
      </c>
      <c r="H159" s="80">
        <f>' PRIHODI I RASHODI-izvori'!I346</f>
        <v>1000</v>
      </c>
      <c r="I159" s="80">
        <f>' PRIHODI I RASHODI-izvori'!J346</f>
        <v>1000</v>
      </c>
    </row>
    <row r="160" spans="1:9" x14ac:dyDescent="0.25">
      <c r="A160" s="38"/>
      <c r="B160" s="82">
        <v>32379</v>
      </c>
      <c r="C160" s="82" t="s">
        <v>505</v>
      </c>
      <c r="D160" s="80" t="e">
        <f>' PRIHODI I RASHODI-izvori'!E347+' PRIHODI I RASHODI-izvori'!E55+' PRIHODI I RASHODI-izvori'!E177</f>
        <v>#REF!</v>
      </c>
      <c r="E160" s="80" t="e">
        <f>' PRIHODI I RASHODI-izvori'!F347+' PRIHODI I RASHODI-izvori'!F55+' PRIHODI I RASHODI-izvori'!F177</f>
        <v>#REF!</v>
      </c>
      <c r="F160" s="80">
        <f>' PRIHODI I RASHODI-izvori'!G347+' PRIHODI I RASHODI-izvori'!G55+' PRIHODI I RASHODI-izvori'!G177</f>
        <v>16500</v>
      </c>
      <c r="G160" s="80">
        <f>' PRIHODI I RASHODI-izvori'!H347+' PRIHODI I RASHODI-izvori'!H55+' PRIHODI I RASHODI-izvori'!H177</f>
        <v>16500</v>
      </c>
      <c r="H160" s="80">
        <f>' PRIHODI I RASHODI-izvori'!I347+' PRIHODI I RASHODI-izvori'!I55+' PRIHODI I RASHODI-izvori'!I177</f>
        <v>17500</v>
      </c>
      <c r="I160" s="80">
        <f>' PRIHODI I RASHODI-izvori'!J347+' PRIHODI I RASHODI-izvori'!J55+' PRIHODI I RASHODI-izvori'!J177</f>
        <v>18500</v>
      </c>
    </row>
    <row r="161" spans="1:9" x14ac:dyDescent="0.25">
      <c r="A161" s="38"/>
      <c r="B161" s="83">
        <v>3238</v>
      </c>
      <c r="C161" s="83" t="s">
        <v>137</v>
      </c>
      <c r="D161" s="84" t="e">
        <f>SUM(D162:D163)</f>
        <v>#REF!</v>
      </c>
      <c r="E161" s="84" t="e">
        <f t="shared" ref="E161:I161" si="54">SUM(E162:E163)</f>
        <v>#REF!</v>
      </c>
      <c r="F161" s="84">
        <f t="shared" ref="F161" si="55">SUM(F162:F163)</f>
        <v>111270</v>
      </c>
      <c r="G161" s="84">
        <f t="shared" si="54"/>
        <v>89834.17</v>
      </c>
      <c r="H161" s="84">
        <f t="shared" si="54"/>
        <v>90834.17</v>
      </c>
      <c r="I161" s="84">
        <f t="shared" si="54"/>
        <v>91834.17</v>
      </c>
    </row>
    <row r="162" spans="1:9" x14ac:dyDescent="0.25">
      <c r="A162" s="54"/>
      <c r="B162" s="82">
        <v>32381</v>
      </c>
      <c r="C162" s="82" t="s">
        <v>669</v>
      </c>
      <c r="D162" s="80">
        <f>' PRIHODI I RASHODI-izvori'!E179</f>
        <v>0</v>
      </c>
      <c r="E162" s="80">
        <f>' PRIHODI I RASHODI-izvori'!F179</f>
        <v>0</v>
      </c>
      <c r="F162" s="80">
        <f>' PRIHODI I RASHODI-izvori'!G57+' PRIHODI I RASHODI-izvori'!G179</f>
        <v>10345</v>
      </c>
      <c r="G162" s="80">
        <f>' PRIHODI I RASHODI-izvori'!H57+' PRIHODI I RASHODI-izvori'!H179</f>
        <v>83334.17</v>
      </c>
      <c r="H162" s="80">
        <f>' PRIHODI I RASHODI-izvori'!I57+' PRIHODI I RASHODI-izvori'!I179</f>
        <v>83334.17</v>
      </c>
      <c r="I162" s="80">
        <f>' PRIHODI I RASHODI-izvori'!J57+' PRIHODI I RASHODI-izvori'!J179</f>
        <v>83334.17</v>
      </c>
    </row>
    <row r="163" spans="1:9" x14ac:dyDescent="0.25">
      <c r="A163" s="38"/>
      <c r="B163" s="82">
        <v>32389</v>
      </c>
      <c r="C163" s="82" t="s">
        <v>440</v>
      </c>
      <c r="D163" s="80" t="e">
        <f>' PRIHODI I RASHODI-izvori'!E58+' PRIHODI I RASHODI-izvori'!E349+' PRIHODI I RASHODI-izvori'!E180</f>
        <v>#REF!</v>
      </c>
      <c r="E163" s="80" t="e">
        <f>' PRIHODI I RASHODI-izvori'!F58+' PRIHODI I RASHODI-izvori'!F349+' PRIHODI I RASHODI-izvori'!F180</f>
        <v>#REF!</v>
      </c>
      <c r="F163" s="80">
        <f>' PRIHODI I RASHODI-izvori'!G58+' PRIHODI I RASHODI-izvori'!G180+' PRIHODI I RASHODI-izvori'!G349</f>
        <v>100925</v>
      </c>
      <c r="G163" s="80">
        <f>' PRIHODI I RASHODI-izvori'!H58+' PRIHODI I RASHODI-izvori'!H180+' PRIHODI I RASHODI-izvori'!H349</f>
        <v>6500</v>
      </c>
      <c r="H163" s="80">
        <f>' PRIHODI I RASHODI-izvori'!I58+' PRIHODI I RASHODI-izvori'!I180+' PRIHODI I RASHODI-izvori'!I349</f>
        <v>7500</v>
      </c>
      <c r="I163" s="80">
        <f>' PRIHODI I RASHODI-izvori'!J58+' PRIHODI I RASHODI-izvori'!J180+' PRIHODI I RASHODI-izvori'!J349</f>
        <v>8500</v>
      </c>
    </row>
    <row r="164" spans="1:9" x14ac:dyDescent="0.25">
      <c r="A164" s="38"/>
      <c r="B164" s="83">
        <v>3239</v>
      </c>
      <c r="C164" s="83" t="s">
        <v>139</v>
      </c>
      <c r="D164" s="84" t="e">
        <f>SUM(D165:D168)</f>
        <v>#REF!</v>
      </c>
      <c r="E164" s="84" t="e">
        <f t="shared" ref="E164:I164" si="56">SUM(E165:E168)</f>
        <v>#REF!</v>
      </c>
      <c r="F164" s="84">
        <f t="shared" ref="F164" si="57">SUM(F165:F168)</f>
        <v>86159.510000000009</v>
      </c>
      <c r="G164" s="84">
        <f t="shared" si="56"/>
        <v>86159.510000000009</v>
      </c>
      <c r="H164" s="84">
        <f t="shared" si="56"/>
        <v>90004.33</v>
      </c>
      <c r="I164" s="84">
        <f t="shared" si="56"/>
        <v>93907.07</v>
      </c>
    </row>
    <row r="165" spans="1:9" x14ac:dyDescent="0.25">
      <c r="A165" s="54"/>
      <c r="B165" s="82">
        <v>32391</v>
      </c>
      <c r="C165" s="82" t="s">
        <v>613</v>
      </c>
      <c r="D165" s="80">
        <f>' PRIHODI I RASHODI-izvori'!E351+' PRIHODI I RASHODI-izvori'!E182</f>
        <v>0</v>
      </c>
      <c r="E165" s="80">
        <f>' PRIHODI I RASHODI-izvori'!F351+' PRIHODI I RASHODI-izvori'!F182</f>
        <v>0</v>
      </c>
      <c r="F165" s="80">
        <f>' PRIHODI I RASHODI-izvori'!G351+' PRIHODI I RASHODI-izvori'!G182</f>
        <v>2800</v>
      </c>
      <c r="G165" s="80">
        <f>' PRIHODI I RASHODI-izvori'!H351+' PRIHODI I RASHODI-izvori'!H182</f>
        <v>2800</v>
      </c>
      <c r="H165" s="80">
        <f>' PRIHODI I RASHODI-izvori'!I351+' PRIHODI I RASHODI-izvori'!I182</f>
        <v>3000</v>
      </c>
      <c r="I165" s="80">
        <f>' PRIHODI I RASHODI-izvori'!J351+' PRIHODI I RASHODI-izvori'!J182</f>
        <v>3200</v>
      </c>
    </row>
    <row r="166" spans="1:9" x14ac:dyDescent="0.25">
      <c r="A166" s="38"/>
      <c r="B166" s="82">
        <v>32394</v>
      </c>
      <c r="C166" s="82" t="s">
        <v>441</v>
      </c>
      <c r="D166" s="80" t="e">
        <f>' PRIHODI I RASHODI-izvori'!E352+' PRIHODI I RASHODI-izvori'!E60+' PRIHODI I RASHODI-izvori'!E183</f>
        <v>#REF!</v>
      </c>
      <c r="E166" s="80" t="e">
        <f>' PRIHODI I RASHODI-izvori'!F352+' PRIHODI I RASHODI-izvori'!F60+' PRIHODI I RASHODI-izvori'!F183</f>
        <v>#REF!</v>
      </c>
      <c r="F166" s="80">
        <f>' PRIHODI I RASHODI-izvori'!G352+' PRIHODI I RASHODI-izvori'!G60+' PRIHODI I RASHODI-izvori'!G183</f>
        <v>8800</v>
      </c>
      <c r="G166" s="80">
        <f>' PRIHODI I RASHODI-izvori'!H352+' PRIHODI I RASHODI-izvori'!H60+' PRIHODI I RASHODI-izvori'!H183</f>
        <v>8800</v>
      </c>
      <c r="H166" s="80">
        <f>' PRIHODI I RASHODI-izvori'!I352+' PRIHODI I RASHODI-izvori'!I60+' PRIHODI I RASHODI-izvori'!I183</f>
        <v>9400</v>
      </c>
      <c r="I166" s="80">
        <f>' PRIHODI I RASHODI-izvori'!J352+' PRIHODI I RASHODI-izvori'!J60+' PRIHODI I RASHODI-izvori'!J183</f>
        <v>10000</v>
      </c>
    </row>
    <row r="167" spans="1:9" x14ac:dyDescent="0.25">
      <c r="A167" s="38"/>
      <c r="B167" s="82">
        <v>32395</v>
      </c>
      <c r="C167" s="82" t="s">
        <v>442</v>
      </c>
      <c r="D167" s="80">
        <f>' PRIHODI I RASHODI-izvori'!E353</f>
        <v>0</v>
      </c>
      <c r="E167" s="80">
        <f>' PRIHODI I RASHODI-izvori'!F353</f>
        <v>0</v>
      </c>
      <c r="F167" s="80">
        <f>' PRIHODI I RASHODI-izvori'!G353</f>
        <v>17300</v>
      </c>
      <c r="G167" s="80">
        <f>' PRIHODI I RASHODI-izvori'!H353</f>
        <v>17300</v>
      </c>
      <c r="H167" s="80">
        <f>' PRIHODI I RASHODI-izvori'!I353</f>
        <v>18300</v>
      </c>
      <c r="I167" s="80">
        <f>' PRIHODI I RASHODI-izvori'!J353</f>
        <v>19300</v>
      </c>
    </row>
    <row r="168" spans="1:9" x14ac:dyDescent="0.25">
      <c r="A168" s="38"/>
      <c r="B168" s="82">
        <v>32399</v>
      </c>
      <c r="C168" s="82" t="s">
        <v>311</v>
      </c>
      <c r="D168" s="80" t="e">
        <f>' PRIHODI I RASHODI-izvori'!E354+' PRIHODI I RASHODI-izvori'!E184+' PRIHODI I RASHODI-izvori'!E486+' PRIHODI I RASHODI-izvori'!E61</f>
        <v>#REF!</v>
      </c>
      <c r="E168" s="80" t="e">
        <f>' PRIHODI I RASHODI-izvori'!F354+' PRIHODI I RASHODI-izvori'!F184+' PRIHODI I RASHODI-izvori'!F486+' PRIHODI I RASHODI-izvori'!F61</f>
        <v>#REF!</v>
      </c>
      <c r="F168" s="80">
        <f>' PRIHODI I RASHODI-izvori'!G184+' PRIHODI I RASHODI-izvori'!G354+' PRIHODI I RASHODI-izvori'!G486+' PRIHODI I RASHODI-izvori'!G512+' PRIHODI I RASHODI-izvori'!G546</f>
        <v>57259.51</v>
      </c>
      <c r="G168" s="80">
        <f>' PRIHODI I RASHODI-izvori'!H184+' PRIHODI I RASHODI-izvori'!H354+' PRIHODI I RASHODI-izvori'!H486+' PRIHODI I RASHODI-izvori'!H512+' PRIHODI I RASHODI-izvori'!H546</f>
        <v>57259.51</v>
      </c>
      <c r="H168" s="80">
        <f>' PRIHODI I RASHODI-izvori'!I184+' PRIHODI I RASHODI-izvori'!I354+' PRIHODI I RASHODI-izvori'!I486+' PRIHODI I RASHODI-izvori'!I512+' PRIHODI I RASHODI-izvori'!I546</f>
        <v>59304.33</v>
      </c>
      <c r="I168" s="80">
        <f>' PRIHODI I RASHODI-izvori'!J184+' PRIHODI I RASHODI-izvori'!J354+' PRIHODI I RASHODI-izvori'!J486+' PRIHODI I RASHODI-izvori'!J512+' PRIHODI I RASHODI-izvori'!J546</f>
        <v>61407.07</v>
      </c>
    </row>
    <row r="169" spans="1:9" x14ac:dyDescent="0.25">
      <c r="A169" s="38"/>
      <c r="B169" s="83">
        <v>324</v>
      </c>
      <c r="C169" s="83" t="s">
        <v>292</v>
      </c>
      <c r="D169" s="84">
        <f t="shared" ref="D169:I169" si="58">SUM(D171)</f>
        <v>0</v>
      </c>
      <c r="E169" s="84">
        <f t="shared" si="58"/>
        <v>0</v>
      </c>
      <c r="F169" s="84">
        <f t="shared" ref="F169" si="59">SUM(F171)</f>
        <v>400</v>
      </c>
      <c r="G169" s="84">
        <f t="shared" si="58"/>
        <v>400</v>
      </c>
      <c r="H169" s="84">
        <f t="shared" si="58"/>
        <v>400</v>
      </c>
      <c r="I169" s="84">
        <f t="shared" si="58"/>
        <v>400</v>
      </c>
    </row>
    <row r="170" spans="1:9" x14ac:dyDescent="0.25">
      <c r="A170" s="38"/>
      <c r="B170" s="83">
        <v>3241</v>
      </c>
      <c r="C170" s="82" t="s">
        <v>293</v>
      </c>
      <c r="D170" s="84">
        <f t="shared" ref="D170:I170" si="60">D171</f>
        <v>0</v>
      </c>
      <c r="E170" s="84">
        <f t="shared" si="60"/>
        <v>0</v>
      </c>
      <c r="F170" s="84">
        <f t="shared" si="60"/>
        <v>400</v>
      </c>
      <c r="G170" s="84">
        <f t="shared" si="60"/>
        <v>400</v>
      </c>
      <c r="H170" s="84">
        <f t="shared" si="60"/>
        <v>400</v>
      </c>
      <c r="I170" s="84">
        <f t="shared" si="60"/>
        <v>400</v>
      </c>
    </row>
    <row r="171" spans="1:9" x14ac:dyDescent="0.25">
      <c r="A171" s="38"/>
      <c r="B171" s="82">
        <v>32412</v>
      </c>
      <c r="C171" s="82" t="s">
        <v>452</v>
      </c>
      <c r="D171" s="80">
        <f>' PRIHODI I RASHODI-izvori'!E357</f>
        <v>0</v>
      </c>
      <c r="E171" s="80">
        <f>' PRIHODI I RASHODI-izvori'!F357</f>
        <v>0</v>
      </c>
      <c r="F171" s="80">
        <f>' PRIHODI I RASHODI-izvori'!G357</f>
        <v>400</v>
      </c>
      <c r="G171" s="80">
        <f>' PRIHODI I RASHODI-izvori'!H357</f>
        <v>400</v>
      </c>
      <c r="H171" s="80">
        <f>' PRIHODI I RASHODI-izvori'!I357</f>
        <v>400</v>
      </c>
      <c r="I171" s="80">
        <f>' PRIHODI I RASHODI-izvori'!J357</f>
        <v>400</v>
      </c>
    </row>
    <row r="172" spans="1:9" s="89" customFormat="1" x14ac:dyDescent="0.25">
      <c r="A172" s="38"/>
      <c r="B172" s="83">
        <v>325</v>
      </c>
      <c r="C172" s="83" t="s">
        <v>633</v>
      </c>
      <c r="D172" s="84" t="e">
        <f>D173+D176+D178</f>
        <v>#REF!</v>
      </c>
      <c r="E172" s="84" t="e">
        <f t="shared" ref="E172:I172" si="61">E173+E176+E178</f>
        <v>#REF!</v>
      </c>
      <c r="F172" s="84">
        <f t="shared" ref="F172" si="62">F173+F176+F178</f>
        <v>4791893.37</v>
      </c>
      <c r="G172" s="84">
        <f t="shared" si="61"/>
        <v>4791893.37</v>
      </c>
      <c r="H172" s="84">
        <f t="shared" si="61"/>
        <v>4885653</v>
      </c>
      <c r="I172" s="84">
        <f t="shared" si="61"/>
        <v>4967573.4000000004</v>
      </c>
    </row>
    <row r="173" spans="1:9" s="89" customFormat="1" x14ac:dyDescent="0.25">
      <c r="A173" s="38"/>
      <c r="B173" s="83">
        <v>3251</v>
      </c>
      <c r="C173" s="83" t="s">
        <v>633</v>
      </c>
      <c r="D173" s="84" t="e">
        <f>D174+D175</f>
        <v>#REF!</v>
      </c>
      <c r="E173" s="84" t="e">
        <f t="shared" ref="E173:I173" si="63">E174+E175</f>
        <v>#REF!</v>
      </c>
      <c r="F173" s="84">
        <f t="shared" ref="F173" si="64">F174+F175</f>
        <v>1023560.37</v>
      </c>
      <c r="G173" s="84">
        <f t="shared" si="63"/>
        <v>1023560.37</v>
      </c>
      <c r="H173" s="84">
        <f t="shared" si="63"/>
        <v>1071920</v>
      </c>
      <c r="I173" s="84">
        <f t="shared" si="63"/>
        <v>1122040.3999999999</v>
      </c>
    </row>
    <row r="174" spans="1:9" x14ac:dyDescent="0.25">
      <c r="A174" s="38"/>
      <c r="B174" s="82">
        <v>32511</v>
      </c>
      <c r="C174" s="82" t="s">
        <v>583</v>
      </c>
      <c r="D174" s="80" t="e">
        <f>' PRIHODI I RASHODI-izvori'!E64+' PRIHODI I RASHODI-izvori'!E187+' PRIHODI I RASHODI-izvori'!E360</f>
        <v>#REF!</v>
      </c>
      <c r="E174" s="80" t="e">
        <f>' PRIHODI I RASHODI-izvori'!F64+' PRIHODI I RASHODI-izvori'!F187+' PRIHODI I RASHODI-izvori'!F360</f>
        <v>#REF!</v>
      </c>
      <c r="F174" s="80">
        <f>' PRIHODI I RASHODI-izvori'!G64+' PRIHODI I RASHODI-izvori'!G187+' PRIHODI I RASHODI-izvori'!G360</f>
        <v>67954.210000000006</v>
      </c>
      <c r="G174" s="80">
        <f>' PRIHODI I RASHODI-izvori'!H64+' PRIHODI I RASHODI-izvori'!H187+' PRIHODI I RASHODI-izvori'!H360</f>
        <v>67954.210000000006</v>
      </c>
      <c r="H174" s="80">
        <f>' PRIHODI I RASHODI-izvori'!I64+' PRIHODI I RASHODI-izvori'!I187+' PRIHODI I RASHODI-izvori'!I360</f>
        <v>81200</v>
      </c>
      <c r="I174" s="80">
        <f>' PRIHODI I RASHODI-izvori'!J64+' PRIHODI I RASHODI-izvori'!J187+' PRIHODI I RASHODI-izvori'!J360</f>
        <v>95500</v>
      </c>
    </row>
    <row r="175" spans="1:9" x14ac:dyDescent="0.25">
      <c r="A175" s="38"/>
      <c r="B175" s="82">
        <v>32513</v>
      </c>
      <c r="C175" s="82" t="s">
        <v>584</v>
      </c>
      <c r="D175" s="80" t="e">
        <f>' PRIHODI I RASHODI-izvori'!E65+' PRIHODI I RASHODI-izvori'!E188+' PRIHODI I RASHODI-izvori'!E361+' PRIHODI I RASHODI-izvori'!E570+' PRIHODI I RASHODI-izvori'!#REF!</f>
        <v>#REF!</v>
      </c>
      <c r="E175" s="80" t="e">
        <f>' PRIHODI I RASHODI-izvori'!F65+' PRIHODI I RASHODI-izvori'!F188+' PRIHODI I RASHODI-izvori'!F361+' PRIHODI I RASHODI-izvori'!F570+' PRIHODI I RASHODI-izvori'!#REF!</f>
        <v>#REF!</v>
      </c>
      <c r="F175" s="80">
        <f>' PRIHODI I RASHODI-izvori'!G188+' PRIHODI I RASHODI-izvori'!G361+' PRIHODI I RASHODI-izvori'!G515+' PRIHODI I RASHODI-izvori'!G570</f>
        <v>955606.16</v>
      </c>
      <c r="G175" s="80">
        <f>' PRIHODI I RASHODI-izvori'!H188+' PRIHODI I RASHODI-izvori'!H361+' PRIHODI I RASHODI-izvori'!H515+' PRIHODI I RASHODI-izvori'!H570</f>
        <v>955606.16</v>
      </c>
      <c r="H175" s="80">
        <f>' PRIHODI I RASHODI-izvori'!I188+' PRIHODI I RASHODI-izvori'!I361+' PRIHODI I RASHODI-izvori'!I515+' PRIHODI I RASHODI-izvori'!I570</f>
        <v>990720</v>
      </c>
      <c r="I175" s="80">
        <f>' PRIHODI I RASHODI-izvori'!J188+' PRIHODI I RASHODI-izvori'!J361+' PRIHODI I RASHODI-izvori'!J515+' PRIHODI I RASHODI-izvori'!J570</f>
        <v>1026540.4</v>
      </c>
    </row>
    <row r="176" spans="1:9" s="89" customFormat="1" x14ac:dyDescent="0.25">
      <c r="A176" s="38"/>
      <c r="B176" s="447" t="s">
        <v>614</v>
      </c>
      <c r="C176" s="83" t="s">
        <v>616</v>
      </c>
      <c r="D176" s="84">
        <f>D177</f>
        <v>0</v>
      </c>
      <c r="E176" s="84">
        <f t="shared" ref="E176:I176" si="65">E177</f>
        <v>0</v>
      </c>
      <c r="F176" s="84">
        <f t="shared" si="65"/>
        <v>9000</v>
      </c>
      <c r="G176" s="84">
        <f t="shared" si="65"/>
        <v>9000</v>
      </c>
      <c r="H176" s="84">
        <f t="shared" si="65"/>
        <v>10000</v>
      </c>
      <c r="I176" s="84">
        <f t="shared" si="65"/>
        <v>11000</v>
      </c>
    </row>
    <row r="177" spans="1:9" x14ac:dyDescent="0.25">
      <c r="A177" s="38"/>
      <c r="B177" s="448" t="s">
        <v>615</v>
      </c>
      <c r="C177" s="82" t="s">
        <v>621</v>
      </c>
      <c r="D177" s="80">
        <f>' PRIHODI I RASHODI-izvori'!E363+' PRIHODI I RASHODI-izvori'!E190</f>
        <v>0</v>
      </c>
      <c r="E177" s="80">
        <f>' PRIHODI I RASHODI-izvori'!F363+' PRIHODI I RASHODI-izvori'!F190</f>
        <v>0</v>
      </c>
      <c r="F177" s="80">
        <f>' PRIHODI I RASHODI-izvori'!G363+' PRIHODI I RASHODI-izvori'!G190</f>
        <v>9000</v>
      </c>
      <c r="G177" s="80">
        <f>' PRIHODI I RASHODI-izvori'!H363+' PRIHODI I RASHODI-izvori'!H190</f>
        <v>9000</v>
      </c>
      <c r="H177" s="80">
        <f>' PRIHODI I RASHODI-izvori'!I363+' PRIHODI I RASHODI-izvori'!I190</f>
        <v>10000</v>
      </c>
      <c r="I177" s="80">
        <f>' PRIHODI I RASHODI-izvori'!J363+' PRIHODI I RASHODI-izvori'!J190</f>
        <v>11000</v>
      </c>
    </row>
    <row r="178" spans="1:9" s="89" customFormat="1" x14ac:dyDescent="0.25">
      <c r="A178" s="38"/>
      <c r="B178" s="447" t="s">
        <v>617</v>
      </c>
      <c r="C178" s="83" t="s">
        <v>619</v>
      </c>
      <c r="D178" s="84">
        <f>D179</f>
        <v>0</v>
      </c>
      <c r="E178" s="84">
        <f t="shared" ref="E178:I178" si="66">E179</f>
        <v>0</v>
      </c>
      <c r="F178" s="84">
        <f t="shared" si="66"/>
        <v>3759333</v>
      </c>
      <c r="G178" s="84">
        <f t="shared" si="66"/>
        <v>3759333</v>
      </c>
      <c r="H178" s="84">
        <f t="shared" si="66"/>
        <v>3803733</v>
      </c>
      <c r="I178" s="84">
        <f t="shared" si="66"/>
        <v>3834533</v>
      </c>
    </row>
    <row r="179" spans="1:9" x14ac:dyDescent="0.25">
      <c r="A179" s="38"/>
      <c r="B179" s="448" t="s">
        <v>618</v>
      </c>
      <c r="C179" s="82" t="s">
        <v>620</v>
      </c>
      <c r="D179" s="80">
        <f>' PRIHODI I RASHODI-izvori'!E365+' PRIHODI I RASHODI-izvori'!E192</f>
        <v>0</v>
      </c>
      <c r="E179" s="80">
        <f>' PRIHODI I RASHODI-izvori'!F365+' PRIHODI I RASHODI-izvori'!F192</f>
        <v>0</v>
      </c>
      <c r="F179" s="80">
        <f>' PRIHODI I RASHODI-izvori'!G365+' PRIHODI I RASHODI-izvori'!G192</f>
        <v>3759333</v>
      </c>
      <c r="G179" s="80">
        <f>' PRIHODI I RASHODI-izvori'!H365+' PRIHODI I RASHODI-izvori'!H192</f>
        <v>3759333</v>
      </c>
      <c r="H179" s="80">
        <f>' PRIHODI I RASHODI-izvori'!I365+' PRIHODI I RASHODI-izvori'!I192</f>
        <v>3803733</v>
      </c>
      <c r="I179" s="80">
        <f>' PRIHODI I RASHODI-izvori'!J365+' PRIHODI I RASHODI-izvori'!J192</f>
        <v>3834533</v>
      </c>
    </row>
    <row r="180" spans="1:9" x14ac:dyDescent="0.25">
      <c r="A180" s="38"/>
      <c r="B180" s="83">
        <v>329</v>
      </c>
      <c r="C180" s="83" t="s">
        <v>141</v>
      </c>
      <c r="D180" s="84" t="e">
        <f t="shared" ref="D180:I180" si="67">D181+D183+D187+D189+D191+D197+D199</f>
        <v>#REF!</v>
      </c>
      <c r="E180" s="84" t="e">
        <f t="shared" si="67"/>
        <v>#REF!</v>
      </c>
      <c r="F180" s="84">
        <f t="shared" ref="F180" si="68">F181+F183+F187+F189+F191+F197+F199</f>
        <v>172834.46</v>
      </c>
      <c r="G180" s="84">
        <f t="shared" si="67"/>
        <v>172834.46</v>
      </c>
      <c r="H180" s="84">
        <f t="shared" si="67"/>
        <v>180644.46</v>
      </c>
      <c r="I180" s="84">
        <f t="shared" si="67"/>
        <v>191254.46</v>
      </c>
    </row>
    <row r="181" spans="1:9" x14ac:dyDescent="0.25">
      <c r="A181" s="38"/>
      <c r="B181" s="83">
        <v>3291</v>
      </c>
      <c r="C181" s="83" t="s">
        <v>294</v>
      </c>
      <c r="D181" s="84">
        <f t="shared" ref="D181:I181" si="69">SUM(D182)</f>
        <v>0</v>
      </c>
      <c r="E181" s="84">
        <f t="shared" si="69"/>
        <v>0</v>
      </c>
      <c r="F181" s="84">
        <f t="shared" si="69"/>
        <v>25500</v>
      </c>
      <c r="G181" s="84">
        <f t="shared" si="69"/>
        <v>25500</v>
      </c>
      <c r="H181" s="84">
        <f t="shared" si="69"/>
        <v>27500</v>
      </c>
      <c r="I181" s="84">
        <f t="shared" si="69"/>
        <v>30500</v>
      </c>
    </row>
    <row r="182" spans="1:9" x14ac:dyDescent="0.25">
      <c r="A182" s="38"/>
      <c r="B182" s="82">
        <v>32911</v>
      </c>
      <c r="C182" s="82" t="s">
        <v>294</v>
      </c>
      <c r="D182" s="80">
        <f>' PRIHODI I RASHODI-izvori'!E368</f>
        <v>0</v>
      </c>
      <c r="E182" s="80">
        <f>' PRIHODI I RASHODI-izvori'!F368</f>
        <v>0</v>
      </c>
      <c r="F182" s="80">
        <f>' PRIHODI I RASHODI-izvori'!G368</f>
        <v>25500</v>
      </c>
      <c r="G182" s="80">
        <f>' PRIHODI I RASHODI-izvori'!H368</f>
        <v>25500</v>
      </c>
      <c r="H182" s="80">
        <f>' PRIHODI I RASHODI-izvori'!I368</f>
        <v>27500</v>
      </c>
      <c r="I182" s="80">
        <f>' PRIHODI I RASHODI-izvori'!J368</f>
        <v>30500</v>
      </c>
    </row>
    <row r="183" spans="1:9" x14ac:dyDescent="0.25">
      <c r="A183" s="38"/>
      <c r="B183" s="83">
        <v>3292</v>
      </c>
      <c r="C183" s="83" t="s">
        <v>444</v>
      </c>
      <c r="D183" s="84" t="e">
        <f t="shared" ref="D183:I183" si="70">SUM(D184:D186)</f>
        <v>#REF!</v>
      </c>
      <c r="E183" s="84" t="e">
        <f t="shared" si="70"/>
        <v>#REF!</v>
      </c>
      <c r="F183" s="84">
        <f t="shared" ref="F183" si="71">SUM(F184:F186)</f>
        <v>85154.459999999992</v>
      </c>
      <c r="G183" s="84">
        <f t="shared" si="70"/>
        <v>85154.459999999992</v>
      </c>
      <c r="H183" s="84">
        <f t="shared" si="70"/>
        <v>89104.459999999992</v>
      </c>
      <c r="I183" s="84">
        <f t="shared" si="70"/>
        <v>93854.459999999992</v>
      </c>
    </row>
    <row r="184" spans="1:9" x14ac:dyDescent="0.25">
      <c r="A184" s="38"/>
      <c r="B184" s="82">
        <v>32921</v>
      </c>
      <c r="C184" s="82" t="s">
        <v>446</v>
      </c>
      <c r="D184" s="80">
        <f>' PRIHODI I RASHODI-izvori'!E370+' PRIHODI I RASHODI-izvori'!E196+' PRIHODI I RASHODI-izvori'!E595</f>
        <v>0</v>
      </c>
      <c r="E184" s="80">
        <f>' PRIHODI I RASHODI-izvori'!F370+' PRIHODI I RASHODI-izvori'!F196+' PRIHODI I RASHODI-izvori'!F595</f>
        <v>0</v>
      </c>
      <c r="F184" s="80">
        <f>' PRIHODI I RASHODI-izvori'!G370+' PRIHODI I RASHODI-izvori'!G196+' PRIHODI I RASHODI-izvori'!G595</f>
        <v>24654.46</v>
      </c>
      <c r="G184" s="80">
        <f>' PRIHODI I RASHODI-izvori'!H370+' PRIHODI I RASHODI-izvori'!H196+' PRIHODI I RASHODI-izvori'!H595</f>
        <v>24654.46</v>
      </c>
      <c r="H184" s="80">
        <f>' PRIHODI I RASHODI-izvori'!I370+' PRIHODI I RASHODI-izvori'!I196+' PRIHODI I RASHODI-izvori'!I595</f>
        <v>25404.46</v>
      </c>
      <c r="I184" s="80">
        <f>' PRIHODI I RASHODI-izvori'!J370+' PRIHODI I RASHODI-izvori'!J196+' PRIHODI I RASHODI-izvori'!J595</f>
        <v>26654.46</v>
      </c>
    </row>
    <row r="185" spans="1:9" x14ac:dyDescent="0.25">
      <c r="A185" s="38"/>
      <c r="B185" s="82">
        <v>32922</v>
      </c>
      <c r="C185" s="82" t="s">
        <v>445</v>
      </c>
      <c r="D185" s="80">
        <f>' PRIHODI I RASHODI-izvori'!E371</f>
        <v>0</v>
      </c>
      <c r="E185" s="80">
        <f>' PRIHODI I RASHODI-izvori'!F371</f>
        <v>0</v>
      </c>
      <c r="F185" s="80">
        <f>' PRIHODI I RASHODI-izvori'!G371</f>
        <v>32800</v>
      </c>
      <c r="G185" s="80">
        <f>' PRIHODI I RASHODI-izvori'!H371</f>
        <v>32800</v>
      </c>
      <c r="H185" s="80">
        <f>' PRIHODI I RASHODI-izvori'!I371</f>
        <v>34000</v>
      </c>
      <c r="I185" s="80">
        <f>' PRIHODI I RASHODI-izvori'!J371</f>
        <v>35500</v>
      </c>
    </row>
    <row r="186" spans="1:9" x14ac:dyDescent="0.25">
      <c r="A186" s="38"/>
      <c r="B186" s="82">
        <v>32923</v>
      </c>
      <c r="C186" s="82" t="s">
        <v>443</v>
      </c>
      <c r="D186" s="80" t="e">
        <f>' PRIHODI I RASHODI-izvori'!E372+' PRIHODI I RASHODI-izvori'!E68</f>
        <v>#REF!</v>
      </c>
      <c r="E186" s="80" t="e">
        <f>' PRIHODI I RASHODI-izvori'!F372+' PRIHODI I RASHODI-izvori'!F68</f>
        <v>#REF!</v>
      </c>
      <c r="F186" s="80">
        <f>' PRIHODI I RASHODI-izvori'!G372+' PRIHODI I RASHODI-izvori'!G68</f>
        <v>27700</v>
      </c>
      <c r="G186" s="80">
        <f>' PRIHODI I RASHODI-izvori'!H372+' PRIHODI I RASHODI-izvori'!H68</f>
        <v>27700</v>
      </c>
      <c r="H186" s="80">
        <f>' PRIHODI I RASHODI-izvori'!I372+' PRIHODI I RASHODI-izvori'!I68</f>
        <v>29700</v>
      </c>
      <c r="I186" s="80">
        <f>' PRIHODI I RASHODI-izvori'!J372+' PRIHODI I RASHODI-izvori'!J68</f>
        <v>31700</v>
      </c>
    </row>
    <row r="187" spans="1:9" x14ac:dyDescent="0.25">
      <c r="A187" s="38"/>
      <c r="B187" s="83">
        <v>3293</v>
      </c>
      <c r="C187" s="83" t="s">
        <v>145</v>
      </c>
      <c r="D187" s="84" t="e">
        <f t="shared" ref="D187:I187" si="72">SUM(D188)</f>
        <v>#REF!</v>
      </c>
      <c r="E187" s="84" t="e">
        <f t="shared" si="72"/>
        <v>#REF!</v>
      </c>
      <c r="F187" s="84">
        <f t="shared" si="72"/>
        <v>9350</v>
      </c>
      <c r="G187" s="84">
        <f t="shared" si="72"/>
        <v>9350</v>
      </c>
      <c r="H187" s="84">
        <f t="shared" si="72"/>
        <v>8750</v>
      </c>
      <c r="I187" s="84">
        <f t="shared" si="72"/>
        <v>9250</v>
      </c>
    </row>
    <row r="188" spans="1:9" x14ac:dyDescent="0.25">
      <c r="A188" s="38"/>
      <c r="B188" s="82">
        <v>32931</v>
      </c>
      <c r="C188" s="82" t="s">
        <v>145</v>
      </c>
      <c r="D188" s="80" t="e">
        <f>' PRIHODI I RASHODI-izvori'!E374+' PRIHODI I RASHODI-izvori'!E198+' PRIHODI I RASHODI-izvori'!E489+' PRIHODI I RASHODI-izvori'!E70</f>
        <v>#REF!</v>
      </c>
      <c r="E188" s="80" t="e">
        <f>' PRIHODI I RASHODI-izvori'!F374+' PRIHODI I RASHODI-izvori'!F198+' PRIHODI I RASHODI-izvori'!F489+' PRIHODI I RASHODI-izvori'!F70</f>
        <v>#REF!</v>
      </c>
      <c r="F188" s="80">
        <f>' PRIHODI I RASHODI-izvori'!G198+' PRIHODI I RASHODI-izvori'!G374+' PRIHODI I RASHODI-izvori'!G489</f>
        <v>9350</v>
      </c>
      <c r="G188" s="80">
        <f>' PRIHODI I RASHODI-izvori'!H198+' PRIHODI I RASHODI-izvori'!H374+' PRIHODI I RASHODI-izvori'!H489</f>
        <v>9350</v>
      </c>
      <c r="H188" s="80">
        <f>' PRIHODI I RASHODI-izvori'!I198+' PRIHODI I RASHODI-izvori'!I374+' PRIHODI I RASHODI-izvori'!I489</f>
        <v>8750</v>
      </c>
      <c r="I188" s="80">
        <f>' PRIHODI I RASHODI-izvori'!J198+' PRIHODI I RASHODI-izvori'!J374+' PRIHODI I RASHODI-izvori'!J489</f>
        <v>9250</v>
      </c>
    </row>
    <row r="189" spans="1:9" x14ac:dyDescent="0.25">
      <c r="A189" s="38"/>
      <c r="B189" s="83">
        <v>3294</v>
      </c>
      <c r="C189" s="83" t="s">
        <v>146</v>
      </c>
      <c r="D189" s="84">
        <f t="shared" ref="D189:I189" si="73">SUM(D190)</f>
        <v>0</v>
      </c>
      <c r="E189" s="84">
        <f t="shared" si="73"/>
        <v>0</v>
      </c>
      <c r="F189" s="84">
        <f t="shared" si="73"/>
        <v>8750</v>
      </c>
      <c r="G189" s="84">
        <f t="shared" si="73"/>
        <v>8750</v>
      </c>
      <c r="H189" s="84">
        <f t="shared" si="73"/>
        <v>9000</v>
      </c>
      <c r="I189" s="84">
        <f t="shared" si="73"/>
        <v>9250</v>
      </c>
    </row>
    <row r="190" spans="1:9" x14ac:dyDescent="0.25">
      <c r="A190" s="38"/>
      <c r="B190" s="82">
        <v>32941</v>
      </c>
      <c r="C190" s="82" t="s">
        <v>447</v>
      </c>
      <c r="D190" s="80">
        <f>' PRIHODI I RASHODI-izvori'!E376+' PRIHODI I RASHODI-izvori'!E200</f>
        <v>0</v>
      </c>
      <c r="E190" s="80">
        <f>' PRIHODI I RASHODI-izvori'!F376+' PRIHODI I RASHODI-izvori'!F200</f>
        <v>0</v>
      </c>
      <c r="F190" s="80">
        <f>' PRIHODI I RASHODI-izvori'!G376+' PRIHODI I RASHODI-izvori'!G200</f>
        <v>8750</v>
      </c>
      <c r="G190" s="80">
        <f>' PRIHODI I RASHODI-izvori'!H376+' PRIHODI I RASHODI-izvori'!H200</f>
        <v>8750</v>
      </c>
      <c r="H190" s="80">
        <f>' PRIHODI I RASHODI-izvori'!I376+' PRIHODI I RASHODI-izvori'!I200</f>
        <v>9000</v>
      </c>
      <c r="I190" s="80">
        <f>' PRIHODI I RASHODI-izvori'!J376+' PRIHODI I RASHODI-izvori'!J200</f>
        <v>9250</v>
      </c>
    </row>
    <row r="191" spans="1:9" x14ac:dyDescent="0.25">
      <c r="A191" s="38"/>
      <c r="B191" s="83">
        <v>3295</v>
      </c>
      <c r="C191" s="83" t="s">
        <v>147</v>
      </c>
      <c r="D191" s="84">
        <f>SUM(D192:D196)</f>
        <v>0</v>
      </c>
      <c r="E191" s="84">
        <f t="shared" ref="E191:I191" si="74">SUM(E192:E196)</f>
        <v>0</v>
      </c>
      <c r="F191" s="84">
        <f t="shared" ref="F191" si="75">SUM(F192:F196)</f>
        <v>16360</v>
      </c>
      <c r="G191" s="84">
        <f t="shared" si="74"/>
        <v>16360</v>
      </c>
      <c r="H191" s="84">
        <f t="shared" si="74"/>
        <v>16970</v>
      </c>
      <c r="I191" s="84">
        <f t="shared" si="74"/>
        <v>17480</v>
      </c>
    </row>
    <row r="192" spans="1:9" x14ac:dyDescent="0.25">
      <c r="A192" s="54"/>
      <c r="B192" s="82">
        <v>32951</v>
      </c>
      <c r="C192" s="82" t="s">
        <v>622</v>
      </c>
      <c r="D192" s="80">
        <f>' PRIHODI I RASHODI-izvori'!E378</f>
        <v>0</v>
      </c>
      <c r="E192" s="80">
        <f>' PRIHODI I RASHODI-izvori'!F378</f>
        <v>0</v>
      </c>
      <c r="F192" s="80">
        <f>' PRIHODI I RASHODI-izvori'!G378</f>
        <v>10</v>
      </c>
      <c r="G192" s="80">
        <f>' PRIHODI I RASHODI-izvori'!H378</f>
        <v>10</v>
      </c>
      <c r="H192" s="80">
        <f>' PRIHODI I RASHODI-izvori'!I378</f>
        <v>20</v>
      </c>
      <c r="I192" s="80">
        <f>' PRIHODI I RASHODI-izvori'!J378</f>
        <v>30</v>
      </c>
    </row>
    <row r="193" spans="1:9" x14ac:dyDescent="0.25">
      <c r="A193" s="38"/>
      <c r="B193" s="82">
        <v>32952</v>
      </c>
      <c r="C193" s="82" t="s">
        <v>449</v>
      </c>
      <c r="D193" s="80">
        <f>' PRIHODI I RASHODI-izvori'!E379</f>
        <v>0</v>
      </c>
      <c r="E193" s="80">
        <f>' PRIHODI I RASHODI-izvori'!F379</f>
        <v>0</v>
      </c>
      <c r="F193" s="80">
        <f>' PRIHODI I RASHODI-izvori'!G379</f>
        <v>1100</v>
      </c>
      <c r="G193" s="80">
        <f>' PRIHODI I RASHODI-izvori'!H379</f>
        <v>1100</v>
      </c>
      <c r="H193" s="80">
        <f>' PRIHODI I RASHODI-izvori'!I379</f>
        <v>1300</v>
      </c>
      <c r="I193" s="80">
        <f>' PRIHODI I RASHODI-izvori'!J379</f>
        <v>1400</v>
      </c>
    </row>
    <row r="194" spans="1:9" x14ac:dyDescent="0.25">
      <c r="A194" s="38"/>
      <c r="B194" s="82">
        <v>32953</v>
      </c>
      <c r="C194" s="82" t="s">
        <v>450</v>
      </c>
      <c r="D194" s="80">
        <f>' PRIHODI I RASHODI-izvori'!E380</f>
        <v>0</v>
      </c>
      <c r="E194" s="80">
        <f>' PRIHODI I RASHODI-izvori'!F380</f>
        <v>0</v>
      </c>
      <c r="F194" s="80">
        <f>' PRIHODI I RASHODI-izvori'!G380</f>
        <v>800</v>
      </c>
      <c r="G194" s="80">
        <f>' PRIHODI I RASHODI-izvori'!H380</f>
        <v>800</v>
      </c>
      <c r="H194" s="80">
        <f>' PRIHODI I RASHODI-izvori'!I380</f>
        <v>900</v>
      </c>
      <c r="I194" s="80">
        <f>' PRIHODI I RASHODI-izvori'!J380</f>
        <v>1000</v>
      </c>
    </row>
    <row r="195" spans="1:9" x14ac:dyDescent="0.25">
      <c r="A195" s="38"/>
      <c r="B195" s="82">
        <v>32955</v>
      </c>
      <c r="C195" s="82" t="s">
        <v>636</v>
      </c>
      <c r="D195" s="80">
        <f>' PRIHODI I RASHODI-izvori'!E202</f>
        <v>0</v>
      </c>
      <c r="E195" s="80">
        <f>' PRIHODI I RASHODI-izvori'!F202</f>
        <v>0</v>
      </c>
      <c r="F195" s="80">
        <f>' PRIHODI I RASHODI-izvori'!G202</f>
        <v>12000</v>
      </c>
      <c r="G195" s="80">
        <f>' PRIHODI I RASHODI-izvori'!H202</f>
        <v>12000</v>
      </c>
      <c r="H195" s="80">
        <f>' PRIHODI I RASHODI-izvori'!I202</f>
        <v>12000</v>
      </c>
      <c r="I195" s="80">
        <f>' PRIHODI I RASHODI-izvori'!J202</f>
        <v>12000</v>
      </c>
    </row>
    <row r="196" spans="1:9" x14ac:dyDescent="0.25">
      <c r="A196" s="38"/>
      <c r="B196" s="82">
        <v>32959</v>
      </c>
      <c r="C196" s="82" t="s">
        <v>448</v>
      </c>
      <c r="D196" s="80">
        <f>' PRIHODI I RASHODI-izvori'!E381</f>
        <v>0</v>
      </c>
      <c r="E196" s="80">
        <f>' PRIHODI I RASHODI-izvori'!F381</f>
        <v>0</v>
      </c>
      <c r="F196" s="80">
        <f>' PRIHODI I RASHODI-izvori'!G381</f>
        <v>2450</v>
      </c>
      <c r="G196" s="80">
        <f>' PRIHODI I RASHODI-izvori'!H381</f>
        <v>2450</v>
      </c>
      <c r="H196" s="80">
        <f>' PRIHODI I RASHODI-izvori'!I381</f>
        <v>2750</v>
      </c>
      <c r="I196" s="80">
        <f>' PRIHODI I RASHODI-izvori'!J381</f>
        <v>3050</v>
      </c>
    </row>
    <row r="197" spans="1:9" x14ac:dyDescent="0.25">
      <c r="A197" s="38"/>
      <c r="B197" s="83">
        <v>3296</v>
      </c>
      <c r="C197" s="83" t="s">
        <v>148</v>
      </c>
      <c r="D197" s="84">
        <f t="shared" ref="D197:I197" si="76">SUM(D198)</f>
        <v>0</v>
      </c>
      <c r="E197" s="84">
        <f t="shared" si="76"/>
        <v>0</v>
      </c>
      <c r="F197" s="84">
        <f t="shared" si="76"/>
        <v>4000</v>
      </c>
      <c r="G197" s="84">
        <f t="shared" si="76"/>
        <v>4000</v>
      </c>
      <c r="H197" s="84">
        <f t="shared" si="76"/>
        <v>4500</v>
      </c>
      <c r="I197" s="84">
        <f t="shared" si="76"/>
        <v>5000</v>
      </c>
    </row>
    <row r="198" spans="1:9" x14ac:dyDescent="0.25">
      <c r="A198" s="38"/>
      <c r="B198" s="82">
        <v>32961</v>
      </c>
      <c r="C198" s="82" t="s">
        <v>148</v>
      </c>
      <c r="D198" s="80">
        <f>' PRIHODI I RASHODI-izvori'!E383</f>
        <v>0</v>
      </c>
      <c r="E198" s="80">
        <f>' PRIHODI I RASHODI-izvori'!F383</f>
        <v>0</v>
      </c>
      <c r="F198" s="80">
        <f>' PRIHODI I RASHODI-izvori'!G383</f>
        <v>4000</v>
      </c>
      <c r="G198" s="80">
        <f>' PRIHODI I RASHODI-izvori'!H383</f>
        <v>4000</v>
      </c>
      <c r="H198" s="80">
        <f>' PRIHODI I RASHODI-izvori'!I383</f>
        <v>4500</v>
      </c>
      <c r="I198" s="80">
        <f>' PRIHODI I RASHODI-izvori'!J383</f>
        <v>5000</v>
      </c>
    </row>
    <row r="199" spans="1:9" x14ac:dyDescent="0.25">
      <c r="A199" s="38"/>
      <c r="B199" s="83">
        <v>3299</v>
      </c>
      <c r="C199" s="83" t="s">
        <v>141</v>
      </c>
      <c r="D199" s="84" t="e">
        <f t="shared" ref="D199:I199" si="77">SUM(D200:D201)</f>
        <v>#REF!</v>
      </c>
      <c r="E199" s="84" t="e">
        <f t="shared" si="77"/>
        <v>#REF!</v>
      </c>
      <c r="F199" s="84">
        <f t="shared" ref="F199" si="78">SUM(F200:F201)</f>
        <v>23720</v>
      </c>
      <c r="G199" s="84">
        <f t="shared" si="77"/>
        <v>23720</v>
      </c>
      <c r="H199" s="84">
        <f t="shared" si="77"/>
        <v>24820</v>
      </c>
      <c r="I199" s="84">
        <f t="shared" si="77"/>
        <v>25920</v>
      </c>
    </row>
    <row r="200" spans="1:9" x14ac:dyDescent="0.25">
      <c r="A200" s="38"/>
      <c r="B200" s="82">
        <v>32991</v>
      </c>
      <c r="C200" s="82" t="s">
        <v>451</v>
      </c>
      <c r="D200" s="80">
        <f>' PRIHODI I RASHODI-izvori'!E385</f>
        <v>0</v>
      </c>
      <c r="E200" s="80">
        <f>' PRIHODI I RASHODI-izvori'!F385</f>
        <v>0</v>
      </c>
      <c r="F200" s="80">
        <f>' PRIHODI I RASHODI-izvori'!G385</f>
        <v>200</v>
      </c>
      <c r="G200" s="80">
        <f>' PRIHODI I RASHODI-izvori'!H385</f>
        <v>200</v>
      </c>
      <c r="H200" s="80">
        <f>' PRIHODI I RASHODI-izvori'!I385</f>
        <v>300</v>
      </c>
      <c r="I200" s="80">
        <f>' PRIHODI I RASHODI-izvori'!J385</f>
        <v>400</v>
      </c>
    </row>
    <row r="201" spans="1:9" x14ac:dyDescent="0.25">
      <c r="A201" s="38"/>
      <c r="B201" s="82">
        <v>32999</v>
      </c>
      <c r="C201" s="82" t="s">
        <v>141</v>
      </c>
      <c r="D201" s="80" t="e">
        <f>' PRIHODI I RASHODI-izvori'!E386+' PRIHODI I RASHODI-izvori'!E72</f>
        <v>#REF!</v>
      </c>
      <c r="E201" s="80" t="e">
        <f>' PRIHODI I RASHODI-izvori'!F386+' PRIHODI I RASHODI-izvori'!F72</f>
        <v>#REF!</v>
      </c>
      <c r="F201" s="80">
        <f>' PRIHODI I RASHODI-izvori'!G72+' PRIHODI I RASHODI-izvori'!G386</f>
        <v>23520</v>
      </c>
      <c r="G201" s="80">
        <f>' PRIHODI I RASHODI-izvori'!H72+' PRIHODI I RASHODI-izvori'!H386</f>
        <v>23520</v>
      </c>
      <c r="H201" s="80">
        <f>' PRIHODI I RASHODI-izvori'!I72+' PRIHODI I RASHODI-izvori'!I386</f>
        <v>24520</v>
      </c>
      <c r="I201" s="80">
        <f>' PRIHODI I RASHODI-izvori'!J72+' PRIHODI I RASHODI-izvori'!J386</f>
        <v>25520</v>
      </c>
    </row>
    <row r="202" spans="1:9" x14ac:dyDescent="0.25">
      <c r="A202" s="38"/>
      <c r="B202" s="98">
        <v>34</v>
      </c>
      <c r="C202" s="98" t="s">
        <v>295</v>
      </c>
      <c r="D202" s="99">
        <f t="shared" ref="D202:I202" si="79">D203</f>
        <v>0</v>
      </c>
      <c r="E202" s="99">
        <f t="shared" si="79"/>
        <v>0</v>
      </c>
      <c r="F202" s="99">
        <f t="shared" si="79"/>
        <v>31975</v>
      </c>
      <c r="G202" s="99">
        <f t="shared" si="79"/>
        <v>31975</v>
      </c>
      <c r="H202" s="99">
        <f t="shared" si="79"/>
        <v>31808</v>
      </c>
      <c r="I202" s="99">
        <f t="shared" si="79"/>
        <v>32243.759999999998</v>
      </c>
    </row>
    <row r="203" spans="1:9" x14ac:dyDescent="0.25">
      <c r="A203" s="38"/>
      <c r="B203" s="83">
        <v>343</v>
      </c>
      <c r="C203" s="83" t="s">
        <v>151</v>
      </c>
      <c r="D203" s="84">
        <f>D204+D207+D208+D213</f>
        <v>0</v>
      </c>
      <c r="E203" s="84">
        <f t="shared" ref="E203:I203" si="80">E204+E207+E208+E213</f>
        <v>0</v>
      </c>
      <c r="F203" s="84">
        <f>F204+F207+F208+F213</f>
        <v>31975</v>
      </c>
      <c r="G203" s="84">
        <f>G204+G207+G208+G213</f>
        <v>31975</v>
      </c>
      <c r="H203" s="84">
        <f t="shared" si="80"/>
        <v>31808</v>
      </c>
      <c r="I203" s="84">
        <f t="shared" si="80"/>
        <v>32243.759999999998</v>
      </c>
    </row>
    <row r="204" spans="1:9" x14ac:dyDescent="0.25">
      <c r="A204" s="38"/>
      <c r="B204" s="83">
        <v>3431</v>
      </c>
      <c r="C204" s="83" t="s">
        <v>296</v>
      </c>
      <c r="D204" s="84">
        <f>SUM(D205:D206)</f>
        <v>0</v>
      </c>
      <c r="E204" s="84">
        <f t="shared" ref="E204:I204" si="81">SUM(E205:E206)</f>
        <v>0</v>
      </c>
      <c r="F204" s="84">
        <f>SUM(F205:F206)</f>
        <v>29700</v>
      </c>
      <c r="G204" s="84">
        <f>SUM(G205:G206)</f>
        <v>29700</v>
      </c>
      <c r="H204" s="84">
        <f t="shared" si="81"/>
        <v>29550</v>
      </c>
      <c r="I204" s="84">
        <f t="shared" si="81"/>
        <v>29900</v>
      </c>
    </row>
    <row r="205" spans="1:9" x14ac:dyDescent="0.25">
      <c r="A205" s="54"/>
      <c r="B205" s="82">
        <v>34311</v>
      </c>
      <c r="C205" s="82" t="s">
        <v>623</v>
      </c>
      <c r="D205" s="80">
        <f>' PRIHODI I RASHODI-izvori'!E390</f>
        <v>0</v>
      </c>
      <c r="E205" s="80">
        <f>' PRIHODI I RASHODI-izvori'!F390</f>
        <v>0</v>
      </c>
      <c r="F205" s="80">
        <f>' PRIHODI I RASHODI-izvori'!G390</f>
        <v>13000</v>
      </c>
      <c r="G205" s="80">
        <f>' PRIHODI I RASHODI-izvori'!H390</f>
        <v>13000</v>
      </c>
      <c r="H205" s="80">
        <f>' PRIHODI I RASHODI-izvori'!I390</f>
        <v>13000</v>
      </c>
      <c r="I205" s="80">
        <f>' PRIHODI I RASHODI-izvori'!J390</f>
        <v>13000</v>
      </c>
    </row>
    <row r="206" spans="1:9" x14ac:dyDescent="0.25">
      <c r="A206" s="38"/>
      <c r="B206" s="82">
        <v>34312</v>
      </c>
      <c r="C206" s="82" t="s">
        <v>453</v>
      </c>
      <c r="D206" s="80">
        <f>' PRIHODI I RASHODI-izvori'!E391+' PRIHODI I RASHODI-izvori'!E208</f>
        <v>0</v>
      </c>
      <c r="E206" s="80">
        <f>' PRIHODI I RASHODI-izvori'!F391+' PRIHODI I RASHODI-izvori'!F208</f>
        <v>0</v>
      </c>
      <c r="F206" s="80">
        <f>' PRIHODI I RASHODI-izvori'!G391+' PRIHODI I RASHODI-izvori'!G208</f>
        <v>16700</v>
      </c>
      <c r="G206" s="80">
        <f>' PRIHODI I RASHODI-izvori'!H391+' PRIHODI I RASHODI-izvori'!H208</f>
        <v>16700</v>
      </c>
      <c r="H206" s="80">
        <f>' PRIHODI I RASHODI-izvori'!I391+' PRIHODI I RASHODI-izvori'!I208</f>
        <v>16550</v>
      </c>
      <c r="I206" s="80">
        <f>' PRIHODI I RASHODI-izvori'!J391+' PRIHODI I RASHODI-izvori'!J208</f>
        <v>16900</v>
      </c>
    </row>
    <row r="207" spans="1:9" hidden="1" x14ac:dyDescent="0.25">
      <c r="A207" s="38"/>
      <c r="B207" s="83">
        <v>3432</v>
      </c>
      <c r="C207" s="83" t="s">
        <v>202</v>
      </c>
      <c r="D207" s="80"/>
      <c r="E207" s="80"/>
      <c r="F207" s="80"/>
      <c r="G207" s="80"/>
      <c r="H207" s="80"/>
      <c r="I207" s="80"/>
    </row>
    <row r="208" spans="1:9" x14ac:dyDescent="0.25">
      <c r="A208" s="38"/>
      <c r="B208" s="83">
        <v>3433</v>
      </c>
      <c r="C208" s="83" t="s">
        <v>154</v>
      </c>
      <c r="D208" s="84">
        <f t="shared" ref="D208" si="82">SUM(D209:D212)</f>
        <v>0</v>
      </c>
      <c r="E208" s="84">
        <f t="shared" ref="E208:I208" si="83">SUM(E209:E212)</f>
        <v>0</v>
      </c>
      <c r="F208" s="84">
        <f t="shared" ref="F208" si="84">SUM(F209:F212)</f>
        <v>1575</v>
      </c>
      <c r="G208" s="84">
        <f t="shared" si="83"/>
        <v>1575</v>
      </c>
      <c r="H208" s="84">
        <f t="shared" si="83"/>
        <v>1520</v>
      </c>
      <c r="I208" s="84">
        <f t="shared" si="83"/>
        <v>1565</v>
      </c>
    </row>
    <row r="209" spans="1:9" x14ac:dyDescent="0.25">
      <c r="A209" s="38"/>
      <c r="B209" s="82">
        <v>34331</v>
      </c>
      <c r="C209" s="82" t="s">
        <v>454</v>
      </c>
      <c r="D209" s="80">
        <f>' PRIHODI I RASHODI-izvori'!E393</f>
        <v>0</v>
      </c>
      <c r="E209" s="80">
        <f>' PRIHODI I RASHODI-izvori'!F393</f>
        <v>0</v>
      </c>
      <c r="F209" s="80">
        <f>' PRIHODI I RASHODI-izvori'!G393</f>
        <v>25</v>
      </c>
      <c r="G209" s="80">
        <f>' PRIHODI I RASHODI-izvori'!H393</f>
        <v>25</v>
      </c>
      <c r="H209" s="80">
        <f>' PRIHODI I RASHODI-izvori'!I393</f>
        <v>30</v>
      </c>
      <c r="I209" s="80">
        <f>' PRIHODI I RASHODI-izvori'!J393</f>
        <v>35</v>
      </c>
    </row>
    <row r="210" spans="1:9" x14ac:dyDescent="0.25">
      <c r="A210" s="38"/>
      <c r="B210" s="82">
        <v>34332</v>
      </c>
      <c r="C210" s="82" t="s">
        <v>455</v>
      </c>
      <c r="D210" s="80">
        <f>' PRIHODI I RASHODI-izvori'!E394</f>
        <v>0</v>
      </c>
      <c r="E210" s="80">
        <f>' PRIHODI I RASHODI-izvori'!F394</f>
        <v>0</v>
      </c>
      <c r="F210" s="80">
        <f>' PRIHODI I RASHODI-izvori'!G394</f>
        <v>350</v>
      </c>
      <c r="G210" s="80">
        <f>' PRIHODI I RASHODI-izvori'!H394</f>
        <v>350</v>
      </c>
      <c r="H210" s="80">
        <f>' PRIHODI I RASHODI-izvori'!I394</f>
        <v>350</v>
      </c>
      <c r="I210" s="80">
        <f>' PRIHODI I RASHODI-izvori'!J394</f>
        <v>350</v>
      </c>
    </row>
    <row r="211" spans="1:9" x14ac:dyDescent="0.25">
      <c r="A211" s="38"/>
      <c r="B211" s="82">
        <v>34333</v>
      </c>
      <c r="C211" s="82" t="s">
        <v>456</v>
      </c>
      <c r="D211" s="80">
        <f>' PRIHODI I RASHODI-izvori'!E395</f>
        <v>0</v>
      </c>
      <c r="E211" s="80">
        <f>' PRIHODI I RASHODI-izvori'!F395</f>
        <v>0</v>
      </c>
      <c r="F211" s="80">
        <f>' PRIHODI I RASHODI-izvori'!G395</f>
        <v>600</v>
      </c>
      <c r="G211" s="80">
        <f>' PRIHODI I RASHODI-izvori'!H395</f>
        <v>600</v>
      </c>
      <c r="H211" s="80">
        <f>' PRIHODI I RASHODI-izvori'!I395</f>
        <v>515</v>
      </c>
      <c r="I211" s="80">
        <f>' PRIHODI I RASHODI-izvori'!J395</f>
        <v>530</v>
      </c>
    </row>
    <row r="212" spans="1:9" x14ac:dyDescent="0.25">
      <c r="A212" s="38"/>
      <c r="B212" s="82">
        <v>34339</v>
      </c>
      <c r="C212" s="82" t="s">
        <v>457</v>
      </c>
      <c r="D212" s="80">
        <f>' PRIHODI I RASHODI-izvori'!E396</f>
        <v>0</v>
      </c>
      <c r="E212" s="80">
        <f>' PRIHODI I RASHODI-izvori'!F396</f>
        <v>0</v>
      </c>
      <c r="F212" s="80">
        <f>' PRIHODI I RASHODI-izvori'!G396</f>
        <v>600</v>
      </c>
      <c r="G212" s="80">
        <f>' PRIHODI I RASHODI-izvori'!H396</f>
        <v>600</v>
      </c>
      <c r="H212" s="80">
        <f>' PRIHODI I RASHODI-izvori'!I396</f>
        <v>625</v>
      </c>
      <c r="I212" s="80">
        <f>' PRIHODI I RASHODI-izvori'!J396</f>
        <v>650</v>
      </c>
    </row>
    <row r="213" spans="1:9" x14ac:dyDescent="0.25">
      <c r="A213" s="38"/>
      <c r="B213" s="83">
        <v>3434</v>
      </c>
      <c r="C213" s="83" t="s">
        <v>297</v>
      </c>
      <c r="D213" s="84">
        <f>D214</f>
        <v>0</v>
      </c>
      <c r="E213" s="84">
        <f t="shared" ref="E213:I213" si="85">E214</f>
        <v>0</v>
      </c>
      <c r="F213" s="84">
        <f t="shared" si="85"/>
        <v>700</v>
      </c>
      <c r="G213" s="84">
        <f t="shared" si="85"/>
        <v>700</v>
      </c>
      <c r="H213" s="84">
        <f t="shared" si="85"/>
        <v>738</v>
      </c>
      <c r="I213" s="84">
        <f t="shared" si="85"/>
        <v>778.76</v>
      </c>
    </row>
    <row r="214" spans="1:9" x14ac:dyDescent="0.25">
      <c r="A214" s="38"/>
      <c r="B214" s="82">
        <v>34349</v>
      </c>
      <c r="C214" s="82" t="s">
        <v>297</v>
      </c>
      <c r="D214" s="80">
        <f>' PRIHODI I RASHODI-izvori'!E398+' PRIHODI I RASHODI-izvori'!E212</f>
        <v>0</v>
      </c>
      <c r="E214" s="80">
        <f>' PRIHODI I RASHODI-izvori'!F398+' PRIHODI I RASHODI-izvori'!F212</f>
        <v>0</v>
      </c>
      <c r="F214" s="80">
        <f>' PRIHODI I RASHODI-izvori'!G398+' PRIHODI I RASHODI-izvori'!G212</f>
        <v>700</v>
      </c>
      <c r="G214" s="80">
        <f>' PRIHODI I RASHODI-izvori'!H398+' PRIHODI I RASHODI-izvori'!H212</f>
        <v>700</v>
      </c>
      <c r="H214" s="80">
        <f>' PRIHODI I RASHODI-izvori'!I398+' PRIHODI I RASHODI-izvori'!I212</f>
        <v>738</v>
      </c>
      <c r="I214" s="80">
        <f>' PRIHODI I RASHODI-izvori'!J398+' PRIHODI I RASHODI-izvori'!J212</f>
        <v>778.76</v>
      </c>
    </row>
    <row r="215" spans="1:9" hidden="1" x14ac:dyDescent="0.25">
      <c r="A215" s="38"/>
      <c r="B215" s="98">
        <v>36</v>
      </c>
      <c r="C215" s="98" t="s">
        <v>298</v>
      </c>
      <c r="D215" s="99">
        <f t="shared" ref="D215:I215" si="86">SUM(D216)</f>
        <v>0</v>
      </c>
      <c r="E215" s="99">
        <f t="shared" si="86"/>
        <v>0</v>
      </c>
      <c r="F215" s="99"/>
      <c r="G215" s="99">
        <f t="shared" si="86"/>
        <v>0</v>
      </c>
      <c r="H215" s="99">
        <f t="shared" si="86"/>
        <v>0</v>
      </c>
      <c r="I215" s="99">
        <f t="shared" si="86"/>
        <v>0</v>
      </c>
    </row>
    <row r="216" spans="1:9" hidden="1" x14ac:dyDescent="0.25">
      <c r="A216" s="38"/>
      <c r="B216" s="83">
        <v>369</v>
      </c>
      <c r="C216" s="83" t="s">
        <v>38</v>
      </c>
      <c r="D216" s="84">
        <f t="shared" ref="D216" si="87">SUM(D217:D218)</f>
        <v>0</v>
      </c>
      <c r="E216" s="84">
        <f t="shared" ref="E216:I216" si="88">SUM(E217:E218)</f>
        <v>0</v>
      </c>
      <c r="F216" s="84"/>
      <c r="G216" s="84">
        <f t="shared" si="88"/>
        <v>0</v>
      </c>
      <c r="H216" s="84">
        <f t="shared" si="88"/>
        <v>0</v>
      </c>
      <c r="I216" s="84">
        <f t="shared" si="88"/>
        <v>0</v>
      </c>
    </row>
    <row r="217" spans="1:9" ht="15.75" hidden="1" customHeight="1" x14ac:dyDescent="0.25">
      <c r="A217" s="54"/>
      <c r="B217" s="83">
        <v>3691</v>
      </c>
      <c r="C217" s="86" t="s">
        <v>299</v>
      </c>
      <c r="D217" s="84"/>
      <c r="E217" s="84"/>
      <c r="F217" s="84"/>
      <c r="G217" s="84"/>
      <c r="H217" s="84"/>
      <c r="I217" s="84"/>
    </row>
    <row r="218" spans="1:9" ht="15.75" hidden="1" customHeight="1" x14ac:dyDescent="0.25">
      <c r="A218" s="38"/>
      <c r="B218" s="83">
        <v>3692</v>
      </c>
      <c r="C218" s="86" t="s">
        <v>300</v>
      </c>
      <c r="D218" s="84"/>
      <c r="E218" s="84"/>
      <c r="F218" s="84"/>
      <c r="G218" s="84"/>
      <c r="H218" s="84"/>
      <c r="I218" s="84"/>
    </row>
    <row r="219" spans="1:9" x14ac:dyDescent="0.25">
      <c r="A219" s="38"/>
      <c r="B219" s="98">
        <v>37</v>
      </c>
      <c r="C219" s="435" t="s">
        <v>159</v>
      </c>
      <c r="D219" s="99" t="e">
        <f t="shared" ref="D219:I220" si="89">D220</f>
        <v>#REF!</v>
      </c>
      <c r="E219" s="99" t="e">
        <f t="shared" si="89"/>
        <v>#REF!</v>
      </c>
      <c r="F219" s="99">
        <f t="shared" si="89"/>
        <v>4700</v>
      </c>
      <c r="G219" s="99">
        <f t="shared" si="89"/>
        <v>4700</v>
      </c>
      <c r="H219" s="99">
        <f t="shared" si="89"/>
        <v>4764</v>
      </c>
      <c r="I219" s="99">
        <f t="shared" si="89"/>
        <v>4829.2800000000007</v>
      </c>
    </row>
    <row r="220" spans="1:9" x14ac:dyDescent="0.25">
      <c r="A220" s="38"/>
      <c r="B220" s="83">
        <v>372</v>
      </c>
      <c r="C220" s="83" t="s">
        <v>160</v>
      </c>
      <c r="D220" s="84" t="e">
        <f t="shared" si="89"/>
        <v>#REF!</v>
      </c>
      <c r="E220" s="84" t="e">
        <f t="shared" si="89"/>
        <v>#REF!</v>
      </c>
      <c r="F220" s="84">
        <f t="shared" si="89"/>
        <v>4700</v>
      </c>
      <c r="G220" s="84">
        <f t="shared" si="89"/>
        <v>4700</v>
      </c>
      <c r="H220" s="84">
        <f t="shared" si="89"/>
        <v>4764</v>
      </c>
      <c r="I220" s="84">
        <f t="shared" si="89"/>
        <v>4829.2800000000007</v>
      </c>
    </row>
    <row r="221" spans="1:9" x14ac:dyDescent="0.25">
      <c r="A221" s="38"/>
      <c r="B221" s="83">
        <v>3721</v>
      </c>
      <c r="C221" s="83" t="s">
        <v>161</v>
      </c>
      <c r="D221" s="84" t="e">
        <f t="shared" ref="D221" si="90">SUM(D222:D223)</f>
        <v>#REF!</v>
      </c>
      <c r="E221" s="84" t="e">
        <f t="shared" ref="E221:I221" si="91">SUM(E222:E223)</f>
        <v>#REF!</v>
      </c>
      <c r="F221" s="84">
        <f t="shared" ref="F221" si="92">SUM(F222:F223)</f>
        <v>4700</v>
      </c>
      <c r="G221" s="84">
        <f t="shared" si="91"/>
        <v>4700</v>
      </c>
      <c r="H221" s="84">
        <f t="shared" si="91"/>
        <v>4764</v>
      </c>
      <c r="I221" s="84">
        <f t="shared" si="91"/>
        <v>4829.2800000000007</v>
      </c>
    </row>
    <row r="222" spans="1:9" x14ac:dyDescent="0.25">
      <c r="A222" s="38"/>
      <c r="B222" s="82">
        <v>37212</v>
      </c>
      <c r="C222" s="82" t="s">
        <v>458</v>
      </c>
      <c r="D222" s="80">
        <f>' PRIHODI I RASHODI-izvori'!E406</f>
        <v>0</v>
      </c>
      <c r="E222" s="80">
        <f>' PRIHODI I RASHODI-izvori'!F406</f>
        <v>0</v>
      </c>
      <c r="F222" s="80">
        <f>' PRIHODI I RASHODI-izvori'!G406</f>
        <v>1000</v>
      </c>
      <c r="G222" s="80">
        <f>' PRIHODI I RASHODI-izvori'!H406</f>
        <v>1000</v>
      </c>
      <c r="H222" s="80">
        <f>' PRIHODI I RASHODI-izvori'!I406</f>
        <v>1000</v>
      </c>
      <c r="I222" s="80">
        <f>' PRIHODI I RASHODI-izvori'!J406</f>
        <v>1000</v>
      </c>
    </row>
    <row r="223" spans="1:9" x14ac:dyDescent="0.25">
      <c r="A223" s="38"/>
      <c r="B223" s="82">
        <v>37215</v>
      </c>
      <c r="C223" s="82" t="s">
        <v>459</v>
      </c>
      <c r="D223" s="80" t="e">
        <f>' PRIHODI I RASHODI-izvori'!E407+' PRIHODI I RASHODI-izvori'!#REF!</f>
        <v>#REF!</v>
      </c>
      <c r="E223" s="80" t="e">
        <f>' PRIHODI I RASHODI-izvori'!F407+' PRIHODI I RASHODI-izvori'!#REF!</f>
        <v>#REF!</v>
      </c>
      <c r="F223" s="80">
        <f>' PRIHODI I RASHODI-izvori'!G407+' PRIHODI I RASHODI-izvori'!G550</f>
        <v>3700</v>
      </c>
      <c r="G223" s="80">
        <f>' PRIHODI I RASHODI-izvori'!H407+' PRIHODI I RASHODI-izvori'!H550</f>
        <v>3700</v>
      </c>
      <c r="H223" s="80">
        <f>' PRIHODI I RASHODI-izvori'!I407+' PRIHODI I RASHODI-izvori'!I550</f>
        <v>3764</v>
      </c>
      <c r="I223" s="80">
        <f>' PRIHODI I RASHODI-izvori'!J407+' PRIHODI I RASHODI-izvori'!J550</f>
        <v>3829.28</v>
      </c>
    </row>
    <row r="224" spans="1:9" x14ac:dyDescent="0.25">
      <c r="A224" s="38"/>
      <c r="B224" s="98">
        <v>38</v>
      </c>
      <c r="C224" s="98" t="s">
        <v>301</v>
      </c>
      <c r="D224" s="99">
        <f t="shared" ref="D224" si="93">SUM(D225,D227,D232)</f>
        <v>0</v>
      </c>
      <c r="E224" s="99">
        <f t="shared" ref="E224:I224" si="94">SUM(E225,E227,E232)</f>
        <v>0</v>
      </c>
      <c r="F224" s="99">
        <f t="shared" ref="F224" si="95">SUM(F225,F227,F232)</f>
        <v>3000</v>
      </c>
      <c r="G224" s="99">
        <f t="shared" si="94"/>
        <v>3000</v>
      </c>
      <c r="H224" s="99">
        <f t="shared" si="94"/>
        <v>1520</v>
      </c>
      <c r="I224" s="99">
        <f t="shared" si="94"/>
        <v>1540.4</v>
      </c>
    </row>
    <row r="225" spans="1:9" hidden="1" x14ac:dyDescent="0.25">
      <c r="A225" s="38"/>
      <c r="B225" s="83">
        <v>381</v>
      </c>
      <c r="C225" s="83" t="s">
        <v>164</v>
      </c>
      <c r="D225" s="84">
        <f t="shared" ref="D225:I225" si="96">SUM(D226)</f>
        <v>0</v>
      </c>
      <c r="E225" s="84">
        <f t="shared" si="96"/>
        <v>0</v>
      </c>
      <c r="F225" s="84"/>
      <c r="G225" s="84">
        <f t="shared" si="96"/>
        <v>0</v>
      </c>
      <c r="H225" s="84">
        <f t="shared" si="96"/>
        <v>0</v>
      </c>
      <c r="I225" s="84">
        <f t="shared" si="96"/>
        <v>0</v>
      </c>
    </row>
    <row r="226" spans="1:9" hidden="1" x14ac:dyDescent="0.25">
      <c r="A226" s="38"/>
      <c r="B226" s="83">
        <v>3811</v>
      </c>
      <c r="C226" s="83" t="s">
        <v>164</v>
      </c>
      <c r="D226" s="80"/>
      <c r="E226" s="80"/>
      <c r="F226" s="80"/>
      <c r="G226" s="80"/>
      <c r="H226" s="80"/>
      <c r="I226" s="80"/>
    </row>
    <row r="227" spans="1:9" x14ac:dyDescent="0.25">
      <c r="A227" s="38"/>
      <c r="B227" s="83">
        <v>383</v>
      </c>
      <c r="C227" s="83" t="s">
        <v>166</v>
      </c>
      <c r="D227" s="84">
        <f t="shared" ref="D227" si="97">SUM(D228:D230)</f>
        <v>0</v>
      </c>
      <c r="E227" s="84">
        <f t="shared" ref="E227:I227" si="98">SUM(E228:E230)</f>
        <v>0</v>
      </c>
      <c r="F227" s="84">
        <f t="shared" si="98"/>
        <v>3000</v>
      </c>
      <c r="G227" s="84">
        <f t="shared" si="98"/>
        <v>3000</v>
      </c>
      <c r="H227" s="84">
        <f t="shared" si="98"/>
        <v>1520</v>
      </c>
      <c r="I227" s="84">
        <f t="shared" si="98"/>
        <v>1540.4</v>
      </c>
    </row>
    <row r="228" spans="1:9" hidden="1" x14ac:dyDescent="0.25">
      <c r="A228" s="54"/>
      <c r="B228" s="83">
        <v>3831</v>
      </c>
      <c r="C228" s="83" t="s">
        <v>302</v>
      </c>
      <c r="D228" s="80"/>
      <c r="E228" s="80"/>
      <c r="F228" s="80"/>
      <c r="G228" s="80"/>
      <c r="H228" s="80"/>
      <c r="I228" s="80"/>
    </row>
    <row r="229" spans="1:9" hidden="1" x14ac:dyDescent="0.25">
      <c r="A229" s="38"/>
      <c r="B229" s="83">
        <v>3833</v>
      </c>
      <c r="C229" s="83" t="s">
        <v>303</v>
      </c>
      <c r="D229" s="80"/>
      <c r="E229" s="80"/>
      <c r="F229" s="80"/>
      <c r="G229" s="80"/>
      <c r="H229" s="80"/>
      <c r="I229" s="80"/>
    </row>
    <row r="230" spans="1:9" x14ac:dyDescent="0.25">
      <c r="A230" s="38"/>
      <c r="B230" s="83">
        <v>3834</v>
      </c>
      <c r="C230" s="83" t="s">
        <v>169</v>
      </c>
      <c r="D230" s="84">
        <f t="shared" ref="D230:I230" si="99">SUM(D231)</f>
        <v>0</v>
      </c>
      <c r="E230" s="84">
        <f t="shared" si="99"/>
        <v>0</v>
      </c>
      <c r="F230" s="84">
        <f t="shared" si="99"/>
        <v>3000</v>
      </c>
      <c r="G230" s="84">
        <f t="shared" si="99"/>
        <v>3000</v>
      </c>
      <c r="H230" s="84">
        <f t="shared" si="99"/>
        <v>1520</v>
      </c>
      <c r="I230" s="84">
        <f t="shared" si="99"/>
        <v>1540.4</v>
      </c>
    </row>
    <row r="231" spans="1:9" x14ac:dyDescent="0.25">
      <c r="A231" s="38"/>
      <c r="B231" s="82">
        <v>38341</v>
      </c>
      <c r="C231" s="82" t="s">
        <v>169</v>
      </c>
      <c r="D231" s="80">
        <f>' PRIHODI I RASHODI-izvori'!E415+' PRIHODI I RASHODI-izvori'!E221</f>
        <v>0</v>
      </c>
      <c r="E231" s="80">
        <f>' PRIHODI I RASHODI-izvori'!F415+' PRIHODI I RASHODI-izvori'!F221</f>
        <v>0</v>
      </c>
      <c r="F231" s="80">
        <f>' PRIHODI I RASHODI-izvori'!G415+' PRIHODI I RASHODI-izvori'!G221</f>
        <v>3000</v>
      </c>
      <c r="G231" s="80">
        <f>' PRIHODI I RASHODI-izvori'!H415+' PRIHODI I RASHODI-izvori'!H221</f>
        <v>3000</v>
      </c>
      <c r="H231" s="80">
        <f>' PRIHODI I RASHODI-izvori'!I415+' PRIHODI I RASHODI-izvori'!I221</f>
        <v>1520</v>
      </c>
      <c r="I231" s="80">
        <f>' PRIHODI I RASHODI-izvori'!J415+' PRIHODI I RASHODI-izvori'!J221</f>
        <v>1540.4</v>
      </c>
    </row>
    <row r="232" spans="1:9" hidden="1" x14ac:dyDescent="0.25">
      <c r="A232" s="38"/>
      <c r="B232" s="83">
        <v>385</v>
      </c>
      <c r="C232" s="83" t="s">
        <v>166</v>
      </c>
      <c r="D232" s="84">
        <f t="shared" ref="D232:I232" si="100">SUM(D233)</f>
        <v>0</v>
      </c>
      <c r="E232" s="84">
        <f t="shared" si="100"/>
        <v>0</v>
      </c>
      <c r="F232" s="84"/>
      <c r="G232" s="84">
        <f t="shared" si="100"/>
        <v>0</v>
      </c>
      <c r="H232" s="84">
        <f t="shared" si="100"/>
        <v>0</v>
      </c>
      <c r="I232" s="84">
        <f t="shared" si="100"/>
        <v>0</v>
      </c>
    </row>
    <row r="233" spans="1:9" hidden="1" x14ac:dyDescent="0.25">
      <c r="A233" s="38"/>
      <c r="B233" s="83">
        <v>3859</v>
      </c>
      <c r="C233" s="83" t="s">
        <v>304</v>
      </c>
      <c r="D233" s="80"/>
      <c r="E233" s="80"/>
      <c r="F233" s="80"/>
      <c r="G233" s="80"/>
      <c r="H233" s="80"/>
      <c r="I233" s="80"/>
    </row>
    <row r="234" spans="1:9" x14ac:dyDescent="0.25">
      <c r="A234" s="35">
        <v>4</v>
      </c>
      <c r="B234" s="97"/>
      <c r="C234" s="97" t="s">
        <v>171</v>
      </c>
      <c r="D234" s="90" t="e">
        <f t="shared" ref="D234:I234" si="101">D235+D241+D268</f>
        <v>#REF!</v>
      </c>
      <c r="E234" s="90" t="e">
        <f t="shared" si="101"/>
        <v>#REF!</v>
      </c>
      <c r="F234" s="90">
        <f t="shared" si="101"/>
        <v>360772.28</v>
      </c>
      <c r="G234" s="90">
        <f t="shared" si="101"/>
        <v>854875.27</v>
      </c>
      <c r="H234" s="90">
        <f t="shared" si="101"/>
        <v>857825.27</v>
      </c>
      <c r="I234" s="90">
        <f t="shared" si="101"/>
        <v>860775.27</v>
      </c>
    </row>
    <row r="235" spans="1:9" x14ac:dyDescent="0.25">
      <c r="A235" s="38"/>
      <c r="B235" s="98">
        <v>41</v>
      </c>
      <c r="C235" s="98" t="s">
        <v>305</v>
      </c>
      <c r="D235" s="99" t="e">
        <f t="shared" ref="D235" si="102">SUM(D236,D238)</f>
        <v>#REF!</v>
      </c>
      <c r="E235" s="99" t="e">
        <f t="shared" ref="E235:I235" si="103">SUM(E236,E238)</f>
        <v>#REF!</v>
      </c>
      <c r="F235" s="99">
        <f t="shared" ref="F235" si="104">SUM(F236,F238)</f>
        <v>3000</v>
      </c>
      <c r="G235" s="99">
        <f t="shared" si="103"/>
        <v>1300</v>
      </c>
      <c r="H235" s="99">
        <f t="shared" si="103"/>
        <v>1300</v>
      </c>
      <c r="I235" s="99">
        <f t="shared" si="103"/>
        <v>1300</v>
      </c>
    </row>
    <row r="236" spans="1:9" hidden="1" x14ac:dyDescent="0.25">
      <c r="A236" s="38"/>
      <c r="B236" s="83">
        <v>411</v>
      </c>
      <c r="C236" s="83" t="s">
        <v>175</v>
      </c>
      <c r="D236" s="84">
        <f t="shared" ref="D236:I236" si="105">SUM(D237)</f>
        <v>0</v>
      </c>
      <c r="E236" s="84">
        <f t="shared" si="105"/>
        <v>0</v>
      </c>
      <c r="F236" s="84"/>
      <c r="G236" s="84">
        <f t="shared" si="105"/>
        <v>0</v>
      </c>
      <c r="H236" s="84">
        <f t="shared" si="105"/>
        <v>0</v>
      </c>
      <c r="I236" s="84">
        <f t="shared" si="105"/>
        <v>0</v>
      </c>
    </row>
    <row r="237" spans="1:9" hidden="1" x14ac:dyDescent="0.25">
      <c r="A237" s="38"/>
      <c r="B237" s="82">
        <v>41112</v>
      </c>
      <c r="C237" s="82" t="s">
        <v>177</v>
      </c>
      <c r="D237" s="80"/>
      <c r="E237" s="80"/>
      <c r="F237" s="80"/>
      <c r="G237" s="80"/>
      <c r="H237" s="80"/>
      <c r="I237" s="80"/>
    </row>
    <row r="238" spans="1:9" x14ac:dyDescent="0.25">
      <c r="A238" s="38"/>
      <c r="B238" s="83">
        <v>412</v>
      </c>
      <c r="C238" s="83" t="s">
        <v>178</v>
      </c>
      <c r="D238" s="84" t="e">
        <f t="shared" ref="D238:I238" si="106">SUM(D239)</f>
        <v>#REF!</v>
      </c>
      <c r="E238" s="84" t="e">
        <f t="shared" si="106"/>
        <v>#REF!</v>
      </c>
      <c r="F238" s="84">
        <f t="shared" si="106"/>
        <v>3000</v>
      </c>
      <c r="G238" s="84">
        <f t="shared" si="106"/>
        <v>1300</v>
      </c>
      <c r="H238" s="84">
        <f t="shared" si="106"/>
        <v>1300</v>
      </c>
      <c r="I238" s="84">
        <f t="shared" si="106"/>
        <v>1300</v>
      </c>
    </row>
    <row r="239" spans="1:9" x14ac:dyDescent="0.25">
      <c r="A239" s="38"/>
      <c r="B239" s="83">
        <v>4123</v>
      </c>
      <c r="C239" s="83" t="s">
        <v>178</v>
      </c>
      <c r="D239" s="84" t="e">
        <f>D240</f>
        <v>#REF!</v>
      </c>
      <c r="E239" s="84" t="e">
        <f t="shared" ref="E239:I239" si="107">E240</f>
        <v>#REF!</v>
      </c>
      <c r="F239" s="84">
        <f t="shared" si="107"/>
        <v>3000</v>
      </c>
      <c r="G239" s="84">
        <f t="shared" si="107"/>
        <v>1300</v>
      </c>
      <c r="H239" s="84">
        <f t="shared" si="107"/>
        <v>1300</v>
      </c>
      <c r="I239" s="84">
        <f t="shared" si="107"/>
        <v>1300</v>
      </c>
    </row>
    <row r="240" spans="1:9" x14ac:dyDescent="0.25">
      <c r="A240" s="54"/>
      <c r="B240" s="82">
        <v>41231</v>
      </c>
      <c r="C240" s="82" t="s">
        <v>179</v>
      </c>
      <c r="D240" s="80" t="e">
        <f>' PRIHODI I RASHODI-izvori'!E77</f>
        <v>#REF!</v>
      </c>
      <c r="E240" s="80" t="e">
        <f>' PRIHODI I RASHODI-izvori'!F77</f>
        <v>#REF!</v>
      </c>
      <c r="F240" s="80">
        <f>' PRIHODI I RASHODI-izvori'!G77</f>
        <v>3000</v>
      </c>
      <c r="G240" s="80">
        <f>' PRIHODI I RASHODI-izvori'!H77</f>
        <v>1300</v>
      </c>
      <c r="H240" s="80">
        <f>' PRIHODI I RASHODI-izvori'!I77</f>
        <v>1300</v>
      </c>
      <c r="I240" s="80">
        <f>' PRIHODI I RASHODI-izvori'!J77</f>
        <v>1300</v>
      </c>
    </row>
    <row r="241" spans="1:9" x14ac:dyDescent="0.25">
      <c r="A241" s="38"/>
      <c r="B241" s="98">
        <v>42</v>
      </c>
      <c r="C241" s="98" t="s">
        <v>306</v>
      </c>
      <c r="D241" s="99" t="e">
        <f t="shared" ref="D241:I241" si="108">D242+D245+D262+D265</f>
        <v>#REF!</v>
      </c>
      <c r="E241" s="99" t="e">
        <f t="shared" si="108"/>
        <v>#REF!</v>
      </c>
      <c r="F241" s="99">
        <f t="shared" si="108"/>
        <v>268772.28000000003</v>
      </c>
      <c r="G241" s="99">
        <f t="shared" si="108"/>
        <v>667575.27</v>
      </c>
      <c r="H241" s="99">
        <f t="shared" si="108"/>
        <v>670525.27</v>
      </c>
      <c r="I241" s="99">
        <f t="shared" si="108"/>
        <v>673475.27</v>
      </c>
    </row>
    <row r="242" spans="1:9" x14ac:dyDescent="0.25">
      <c r="A242" s="38"/>
      <c r="B242" s="83">
        <v>421</v>
      </c>
      <c r="C242" s="83" t="s">
        <v>204</v>
      </c>
      <c r="D242" s="84">
        <f>SUM(D243)</f>
        <v>0</v>
      </c>
      <c r="E242" s="84">
        <f>SUM(E243)</f>
        <v>0</v>
      </c>
      <c r="F242" s="84">
        <f>F243</f>
        <v>0</v>
      </c>
      <c r="G242" s="84">
        <f>G243</f>
        <v>3062.5</v>
      </c>
      <c r="H242" s="84">
        <f t="shared" ref="H242:I242" si="109">H243</f>
        <v>3062.5</v>
      </c>
      <c r="I242" s="84">
        <f t="shared" si="109"/>
        <v>3062.5</v>
      </c>
    </row>
    <row r="243" spans="1:9" x14ac:dyDescent="0.25">
      <c r="A243" s="38"/>
      <c r="B243" s="83">
        <v>4212</v>
      </c>
      <c r="C243" s="83" t="s">
        <v>206</v>
      </c>
      <c r="D243" s="84"/>
      <c r="E243" s="84"/>
      <c r="F243" s="84">
        <f>F244</f>
        <v>0</v>
      </c>
      <c r="G243" s="84">
        <f>G244</f>
        <v>3062.5</v>
      </c>
      <c r="H243" s="84">
        <f t="shared" ref="H243:I243" si="110">H244</f>
        <v>3062.5</v>
      </c>
      <c r="I243" s="84">
        <f t="shared" si="110"/>
        <v>3062.5</v>
      </c>
    </row>
    <row r="244" spans="1:9" ht="31.5" x14ac:dyDescent="0.25">
      <c r="A244" s="38"/>
      <c r="B244" s="82">
        <v>42122</v>
      </c>
      <c r="C244" s="85" t="s">
        <v>670</v>
      </c>
      <c r="D244" s="84"/>
      <c r="E244" s="84"/>
      <c r="F244" s="80">
        <f>' PRIHODI I RASHODI-izvori'!G81</f>
        <v>0</v>
      </c>
      <c r="G244" s="80">
        <f>' PRIHODI I RASHODI-izvori'!H81</f>
        <v>3062.5</v>
      </c>
      <c r="H244" s="80">
        <f>' PRIHODI I RASHODI-izvori'!I81</f>
        <v>3062.5</v>
      </c>
      <c r="I244" s="80">
        <f>' PRIHODI I RASHODI-izvori'!J81</f>
        <v>3062.5</v>
      </c>
    </row>
    <row r="245" spans="1:9" x14ac:dyDescent="0.25">
      <c r="A245" s="38"/>
      <c r="B245" s="83">
        <v>422</v>
      </c>
      <c r="C245" s="83" t="s">
        <v>181</v>
      </c>
      <c r="D245" s="84" t="e">
        <f>D246+D250+D252+D255+D258+D260</f>
        <v>#REF!</v>
      </c>
      <c r="E245" s="84" t="e">
        <f t="shared" ref="E245:I245" si="111">E246+E250+E252+E255+E258+E260</f>
        <v>#REF!</v>
      </c>
      <c r="F245" s="84">
        <f t="shared" ref="F245" si="112">F246+F250+F252+F255+F258+F260</f>
        <v>242050</v>
      </c>
      <c r="G245" s="84">
        <f t="shared" si="111"/>
        <v>547790.49</v>
      </c>
      <c r="H245" s="84">
        <f t="shared" si="111"/>
        <v>550740.49</v>
      </c>
      <c r="I245" s="84">
        <f t="shared" si="111"/>
        <v>553690.49</v>
      </c>
    </row>
    <row r="246" spans="1:9" x14ac:dyDescent="0.25">
      <c r="A246" s="38"/>
      <c r="B246" s="83">
        <v>4221</v>
      </c>
      <c r="C246" s="83" t="s">
        <v>183</v>
      </c>
      <c r="D246" s="84" t="e">
        <f t="shared" ref="D246" si="113">SUM(D247:D249)</f>
        <v>#REF!</v>
      </c>
      <c r="E246" s="84" t="e">
        <f t="shared" ref="E246:I246" si="114">SUM(E247:E249)</f>
        <v>#REF!</v>
      </c>
      <c r="F246" s="84">
        <f t="shared" ref="F246" si="115">SUM(F247:F249)</f>
        <v>37400</v>
      </c>
      <c r="G246" s="84">
        <f t="shared" si="114"/>
        <v>82451.66</v>
      </c>
      <c r="H246" s="84">
        <f t="shared" si="114"/>
        <v>82451.66</v>
      </c>
      <c r="I246" s="84">
        <f t="shared" si="114"/>
        <v>82451.66</v>
      </c>
    </row>
    <row r="247" spans="1:9" x14ac:dyDescent="0.25">
      <c r="A247" s="38"/>
      <c r="B247" s="82">
        <v>42211</v>
      </c>
      <c r="C247" s="82" t="s">
        <v>460</v>
      </c>
      <c r="D247" s="80" t="e">
        <f>' PRIHODI I RASHODI-izvori'!E84+' PRIHODI I RASHODI-izvori'!E428</f>
        <v>#REF!</v>
      </c>
      <c r="E247" s="80" t="e">
        <f>' PRIHODI I RASHODI-izvori'!F84+' PRIHODI I RASHODI-izvori'!F428</f>
        <v>#REF!</v>
      </c>
      <c r="F247" s="80">
        <f>' PRIHODI I RASHODI-izvori'!G84+' PRIHODI I RASHODI-izvori'!G428</f>
        <v>20000</v>
      </c>
      <c r="G247" s="80">
        <f>' PRIHODI I RASHODI-izvori'!H84+' PRIHODI I RASHODI-izvori'!H428</f>
        <v>44776.66</v>
      </c>
      <c r="H247" s="80">
        <f>' PRIHODI I RASHODI-izvori'!I84+' PRIHODI I RASHODI-izvori'!I428</f>
        <v>44776.66</v>
      </c>
      <c r="I247" s="80">
        <f>' PRIHODI I RASHODI-izvori'!J84+' PRIHODI I RASHODI-izvori'!J428</f>
        <v>44776.66</v>
      </c>
    </row>
    <row r="248" spans="1:9" x14ac:dyDescent="0.25">
      <c r="A248" s="38"/>
      <c r="B248" s="82">
        <v>42212</v>
      </c>
      <c r="C248" s="82" t="s">
        <v>461</v>
      </c>
      <c r="D248" s="80" t="e">
        <f>' PRIHODI I RASHODI-izvori'!E85+' PRIHODI I RASHODI-izvori'!E429+' PRIHODI I RASHODI-izvori'!E232</f>
        <v>#REF!</v>
      </c>
      <c r="E248" s="80" t="e">
        <f>' PRIHODI I RASHODI-izvori'!F85+' PRIHODI I RASHODI-izvori'!F429+' PRIHODI I RASHODI-izvori'!F232</f>
        <v>#REF!</v>
      </c>
      <c r="F248" s="80">
        <f>' PRIHODI I RASHODI-izvori'!G85+' PRIHODI I RASHODI-izvori'!G429+' PRIHODI I RASHODI-izvori'!G232</f>
        <v>16600</v>
      </c>
      <c r="G248" s="80">
        <f>' PRIHODI I RASHODI-izvori'!H85+' PRIHODI I RASHODI-izvori'!H429+' PRIHODI I RASHODI-izvori'!H232</f>
        <v>36875</v>
      </c>
      <c r="H248" s="80">
        <f>' PRIHODI I RASHODI-izvori'!I85+' PRIHODI I RASHODI-izvori'!I429+' PRIHODI I RASHODI-izvori'!I232</f>
        <v>36875</v>
      </c>
      <c r="I248" s="80">
        <f>' PRIHODI I RASHODI-izvori'!J85+' PRIHODI I RASHODI-izvori'!J429+' PRIHODI I RASHODI-izvori'!J232</f>
        <v>36875</v>
      </c>
    </row>
    <row r="249" spans="1:9" x14ac:dyDescent="0.25">
      <c r="A249" s="38"/>
      <c r="B249" s="82">
        <v>42219</v>
      </c>
      <c r="C249" s="82" t="s">
        <v>462</v>
      </c>
      <c r="D249" s="80">
        <f>' PRIHODI I RASHODI-izvori'!E430</f>
        <v>0</v>
      </c>
      <c r="E249" s="80">
        <f>' PRIHODI I RASHODI-izvori'!F430</f>
        <v>0</v>
      </c>
      <c r="F249" s="80">
        <f>' PRIHODI I RASHODI-izvori'!G430</f>
        <v>800</v>
      </c>
      <c r="G249" s="80">
        <f>' PRIHODI I RASHODI-izvori'!H430</f>
        <v>800</v>
      </c>
      <c r="H249" s="80">
        <f>' PRIHODI I RASHODI-izvori'!I430</f>
        <v>800</v>
      </c>
      <c r="I249" s="80">
        <f>' PRIHODI I RASHODI-izvori'!J430</f>
        <v>800</v>
      </c>
    </row>
    <row r="250" spans="1:9" x14ac:dyDescent="0.25">
      <c r="A250" s="38"/>
      <c r="B250" s="83">
        <v>4222</v>
      </c>
      <c r="C250" s="83" t="s">
        <v>185</v>
      </c>
      <c r="D250" s="84" t="e">
        <f>D251</f>
        <v>#REF!</v>
      </c>
      <c r="E250" s="84" t="e">
        <f t="shared" ref="E250:I250" si="116">E251</f>
        <v>#REF!</v>
      </c>
      <c r="F250" s="84">
        <f t="shared" si="116"/>
        <v>0</v>
      </c>
      <c r="G250" s="84">
        <f t="shared" si="116"/>
        <v>61.19</v>
      </c>
      <c r="H250" s="84">
        <f t="shared" si="116"/>
        <v>61.19</v>
      </c>
      <c r="I250" s="84">
        <f t="shared" si="116"/>
        <v>61.19</v>
      </c>
    </row>
    <row r="251" spans="1:9" x14ac:dyDescent="0.25">
      <c r="A251" s="54"/>
      <c r="B251" s="82">
        <v>42222</v>
      </c>
      <c r="C251" s="82" t="s">
        <v>641</v>
      </c>
      <c r="D251" s="80" t="e">
        <f>' PRIHODI I RASHODI-izvori'!E87</f>
        <v>#REF!</v>
      </c>
      <c r="E251" s="80" t="e">
        <f>' PRIHODI I RASHODI-izvori'!F87</f>
        <v>#REF!</v>
      </c>
      <c r="F251" s="80">
        <f>' PRIHODI I RASHODI-izvori'!G87</f>
        <v>0</v>
      </c>
      <c r="G251" s="80">
        <f>' PRIHODI I RASHODI-izvori'!H87</f>
        <v>61.19</v>
      </c>
      <c r="H251" s="80">
        <f>' PRIHODI I RASHODI-izvori'!I87</f>
        <v>61.19</v>
      </c>
      <c r="I251" s="80">
        <f>' PRIHODI I RASHODI-izvori'!J87</f>
        <v>61.19</v>
      </c>
    </row>
    <row r="252" spans="1:9" x14ac:dyDescent="0.25">
      <c r="A252" s="38"/>
      <c r="B252" s="83">
        <v>4223</v>
      </c>
      <c r="C252" s="83" t="s">
        <v>307</v>
      </c>
      <c r="D252" s="84" t="e">
        <f t="shared" ref="D252" si="117">SUM(D253:D254)</f>
        <v>#REF!</v>
      </c>
      <c r="E252" s="84" t="e">
        <f t="shared" ref="E252:I252" si="118">SUM(E253:E254)</f>
        <v>#REF!</v>
      </c>
      <c r="F252" s="84">
        <f t="shared" ref="F252" si="119">SUM(F253:F254)</f>
        <v>15350</v>
      </c>
      <c r="G252" s="84">
        <f t="shared" si="118"/>
        <v>16541.75</v>
      </c>
      <c r="H252" s="84">
        <f t="shared" si="118"/>
        <v>17041.75</v>
      </c>
      <c r="I252" s="84">
        <f t="shared" si="118"/>
        <v>17541.75</v>
      </c>
    </row>
    <row r="253" spans="1:9" x14ac:dyDescent="0.25">
      <c r="A253" s="38"/>
      <c r="B253" s="82">
        <v>42231</v>
      </c>
      <c r="C253" s="82" t="s">
        <v>464</v>
      </c>
      <c r="D253" s="80" t="e">
        <f>' PRIHODI I RASHODI-izvori'!E90+' PRIHODI I RASHODI-izvori'!E433+' PRIHODI I RASHODI-izvori'!E235</f>
        <v>#REF!</v>
      </c>
      <c r="E253" s="80" t="e">
        <f>' PRIHODI I RASHODI-izvori'!F90+' PRIHODI I RASHODI-izvori'!F433+' PRIHODI I RASHODI-izvori'!F235</f>
        <v>#REF!</v>
      </c>
      <c r="F253" s="80">
        <f>' PRIHODI I RASHODI-izvori'!G89+' PRIHODI I RASHODI-izvori'!G433</f>
        <v>15000</v>
      </c>
      <c r="G253" s="80">
        <f>' PRIHODI I RASHODI-izvori'!H89+' PRIHODI I RASHODI-izvori'!H433</f>
        <v>7000</v>
      </c>
      <c r="H253" s="80">
        <f>' PRIHODI I RASHODI-izvori'!I89+' PRIHODI I RASHODI-izvori'!I433</f>
        <v>7500</v>
      </c>
      <c r="I253" s="80">
        <f>' PRIHODI I RASHODI-izvori'!J89+' PRIHODI I RASHODI-izvori'!J433</f>
        <v>8000</v>
      </c>
    </row>
    <row r="254" spans="1:9" x14ac:dyDescent="0.25">
      <c r="A254" s="38"/>
      <c r="B254" s="82">
        <v>42232</v>
      </c>
      <c r="C254" s="82" t="s">
        <v>463</v>
      </c>
      <c r="D254" s="80">
        <f>' PRIHODI I RASHODI-izvori'!E434</f>
        <v>0</v>
      </c>
      <c r="E254" s="80">
        <f>' PRIHODI I RASHODI-izvori'!F434</f>
        <v>0</v>
      </c>
      <c r="F254" s="80">
        <f>' PRIHODI I RASHODI-izvori'!G90+' PRIHODI I RASHODI-izvori'!G434</f>
        <v>350</v>
      </c>
      <c r="G254" s="80">
        <f>' PRIHODI I RASHODI-izvori'!H90+' PRIHODI I RASHODI-izvori'!H434</f>
        <v>9541.75</v>
      </c>
      <c r="H254" s="80">
        <f>' PRIHODI I RASHODI-izvori'!I90+' PRIHODI I RASHODI-izvori'!I434</f>
        <v>9541.75</v>
      </c>
      <c r="I254" s="80">
        <f>' PRIHODI I RASHODI-izvori'!J90+' PRIHODI I RASHODI-izvori'!J434</f>
        <v>9541.75</v>
      </c>
    </row>
    <row r="255" spans="1:9" x14ac:dyDescent="0.25">
      <c r="A255" s="38"/>
      <c r="B255" s="83">
        <v>4224</v>
      </c>
      <c r="C255" s="83" t="s">
        <v>187</v>
      </c>
      <c r="D255" s="84" t="e">
        <f t="shared" ref="D255" si="120">SUM(D256:D257)</f>
        <v>#REF!</v>
      </c>
      <c r="E255" s="84" t="e">
        <f t="shared" ref="E255:I255" si="121">SUM(E256:E257)</f>
        <v>#REF!</v>
      </c>
      <c r="F255" s="84">
        <f t="shared" ref="F255" si="122">SUM(F256:F257)</f>
        <v>167300</v>
      </c>
      <c r="G255" s="84">
        <f t="shared" si="121"/>
        <v>422767.39</v>
      </c>
      <c r="H255" s="84">
        <f t="shared" si="121"/>
        <v>424867.39</v>
      </c>
      <c r="I255" s="84">
        <f t="shared" si="121"/>
        <v>426967.39</v>
      </c>
    </row>
    <row r="256" spans="1:9" x14ac:dyDescent="0.25">
      <c r="A256" s="38"/>
      <c r="B256" s="82">
        <v>42241</v>
      </c>
      <c r="C256" s="82" t="s">
        <v>465</v>
      </c>
      <c r="D256" s="80" t="e">
        <f>' PRIHODI I RASHODI-izvori'!E92+' PRIHODI I RASHODI-izvori'!E436+' PRIHODI I RASHODI-izvori'!E602+' PRIHODI I RASHODI-izvori'!E495</f>
        <v>#REF!</v>
      </c>
      <c r="E256" s="80" t="e">
        <f>' PRIHODI I RASHODI-izvori'!F92+' PRIHODI I RASHODI-izvori'!F436+' PRIHODI I RASHODI-izvori'!F602+' PRIHODI I RASHODI-izvori'!F495</f>
        <v>#REF!</v>
      </c>
      <c r="F256" s="80">
        <f>' PRIHODI I RASHODI-izvori'!G92+' PRIHODI I RASHODI-izvori'!G436</f>
        <v>165800</v>
      </c>
      <c r="G256" s="80">
        <f>' PRIHODI I RASHODI-izvori'!H92+' PRIHODI I RASHODI-izvori'!H436</f>
        <v>421267.39</v>
      </c>
      <c r="H256" s="80">
        <f>' PRIHODI I RASHODI-izvori'!I92+' PRIHODI I RASHODI-izvori'!I436</f>
        <v>423267.39</v>
      </c>
      <c r="I256" s="80">
        <f>' PRIHODI I RASHODI-izvori'!J92+' PRIHODI I RASHODI-izvori'!J436</f>
        <v>425267.39</v>
      </c>
    </row>
    <row r="257" spans="1:9" x14ac:dyDescent="0.25">
      <c r="A257" s="38"/>
      <c r="B257" s="82">
        <v>42242</v>
      </c>
      <c r="C257" s="82" t="s">
        <v>466</v>
      </c>
      <c r="D257" s="80">
        <f>' PRIHODI I RASHODI-izvori'!E437</f>
        <v>0</v>
      </c>
      <c r="E257" s="80">
        <f>' PRIHODI I RASHODI-izvori'!F437</f>
        <v>0</v>
      </c>
      <c r="F257" s="80">
        <f>' PRIHODI I RASHODI-izvori'!G437</f>
        <v>1500</v>
      </c>
      <c r="G257" s="80">
        <f>' PRIHODI I RASHODI-izvori'!H437</f>
        <v>1500</v>
      </c>
      <c r="H257" s="80">
        <f>' PRIHODI I RASHODI-izvori'!I437</f>
        <v>1600</v>
      </c>
      <c r="I257" s="80">
        <f>' PRIHODI I RASHODI-izvori'!J437</f>
        <v>1700</v>
      </c>
    </row>
    <row r="258" spans="1:9" x14ac:dyDescent="0.25">
      <c r="A258" s="38"/>
      <c r="B258" s="83">
        <v>4225</v>
      </c>
      <c r="C258" s="83" t="s">
        <v>188</v>
      </c>
      <c r="D258" s="84" t="e">
        <f t="shared" ref="D258:I258" si="123">SUM(D259)</f>
        <v>#REF!</v>
      </c>
      <c r="E258" s="84" t="e">
        <f t="shared" si="123"/>
        <v>#REF!</v>
      </c>
      <c r="F258" s="84">
        <f t="shared" si="123"/>
        <v>20000</v>
      </c>
      <c r="G258" s="84">
        <f t="shared" si="123"/>
        <v>20000</v>
      </c>
      <c r="H258" s="84">
        <f t="shared" si="123"/>
        <v>20150</v>
      </c>
      <c r="I258" s="84">
        <f t="shared" si="123"/>
        <v>20300</v>
      </c>
    </row>
    <row r="259" spans="1:9" x14ac:dyDescent="0.25">
      <c r="A259" s="38"/>
      <c r="B259" s="82">
        <v>42251</v>
      </c>
      <c r="C259" s="82" t="s">
        <v>671</v>
      </c>
      <c r="D259" s="80" t="e">
        <f>' PRIHODI I RASHODI-izvori'!E94+' PRIHODI I RASHODI-izvori'!E439</f>
        <v>#REF!</v>
      </c>
      <c r="E259" s="80" t="e">
        <f>' PRIHODI I RASHODI-izvori'!F94+' PRIHODI I RASHODI-izvori'!F439</f>
        <v>#REF!</v>
      </c>
      <c r="F259" s="80">
        <f>' PRIHODI I RASHODI-izvori'!G94+' PRIHODI I RASHODI-izvori'!G439</f>
        <v>20000</v>
      </c>
      <c r="G259" s="80">
        <f>' PRIHODI I RASHODI-izvori'!H94+' PRIHODI I RASHODI-izvori'!H439</f>
        <v>20000</v>
      </c>
      <c r="H259" s="80">
        <f>' PRIHODI I RASHODI-izvori'!I94+' PRIHODI I RASHODI-izvori'!I439</f>
        <v>20150</v>
      </c>
      <c r="I259" s="80">
        <f>' PRIHODI I RASHODI-izvori'!J94+' PRIHODI I RASHODI-izvori'!J439</f>
        <v>20300</v>
      </c>
    </row>
    <row r="260" spans="1:9" x14ac:dyDescent="0.25">
      <c r="A260" s="38"/>
      <c r="B260" s="83">
        <v>4227</v>
      </c>
      <c r="C260" s="83" t="s">
        <v>189</v>
      </c>
      <c r="D260" s="84">
        <f t="shared" ref="D260:I260" si="124">D261</f>
        <v>0</v>
      </c>
      <c r="E260" s="84">
        <f t="shared" si="124"/>
        <v>0</v>
      </c>
      <c r="F260" s="84">
        <f t="shared" si="124"/>
        <v>2000</v>
      </c>
      <c r="G260" s="84">
        <f t="shared" si="124"/>
        <v>5968.5</v>
      </c>
      <c r="H260" s="84">
        <f t="shared" si="124"/>
        <v>6168.5</v>
      </c>
      <c r="I260" s="84">
        <f t="shared" si="124"/>
        <v>6368.5</v>
      </c>
    </row>
    <row r="261" spans="1:9" x14ac:dyDescent="0.25">
      <c r="A261" s="38"/>
      <c r="B261" s="82">
        <v>42271</v>
      </c>
      <c r="C261" s="82" t="s">
        <v>714</v>
      </c>
      <c r="D261" s="80">
        <f>' PRIHODI I RASHODI-izvori'!E441+' PRIHODI I RASHODI-izvori'!E239</f>
        <v>0</v>
      </c>
      <c r="E261" s="80">
        <f>' PRIHODI I RASHODI-izvori'!F441+' PRIHODI I RASHODI-izvori'!F239</f>
        <v>0</v>
      </c>
      <c r="F261" s="80">
        <f>' PRIHODI I RASHODI-izvori'!G96+' PRIHODI I RASHODI-izvori'!G441</f>
        <v>2000</v>
      </c>
      <c r="G261" s="80">
        <f>' PRIHODI I RASHODI-izvori'!H96+' PRIHODI I RASHODI-izvori'!H441</f>
        <v>5968.5</v>
      </c>
      <c r="H261" s="80">
        <f>' PRIHODI I RASHODI-izvori'!I96+' PRIHODI I RASHODI-izvori'!I441</f>
        <v>6168.5</v>
      </c>
      <c r="I261" s="80">
        <f>' PRIHODI I RASHODI-izvori'!J96+' PRIHODI I RASHODI-izvori'!J441</f>
        <v>6368.5</v>
      </c>
    </row>
    <row r="262" spans="1:9" x14ac:dyDescent="0.25">
      <c r="A262" s="38"/>
      <c r="B262" s="83">
        <v>423</v>
      </c>
      <c r="C262" s="83" t="s">
        <v>190</v>
      </c>
      <c r="D262" s="84" t="e">
        <f t="shared" ref="D262:I262" si="125">D263</f>
        <v>#REF!</v>
      </c>
      <c r="E262" s="84" t="e">
        <f t="shared" si="125"/>
        <v>#REF!</v>
      </c>
      <c r="F262" s="84">
        <f t="shared" si="125"/>
        <v>24722.28</v>
      </c>
      <c r="G262" s="84">
        <f t="shared" si="125"/>
        <v>114722.28</v>
      </c>
      <c r="H262" s="84">
        <f t="shared" si="125"/>
        <v>114722.28</v>
      </c>
      <c r="I262" s="84">
        <f t="shared" si="125"/>
        <v>114722.28</v>
      </c>
    </row>
    <row r="263" spans="1:9" x14ac:dyDescent="0.25">
      <c r="A263" s="38"/>
      <c r="B263" s="83">
        <v>4231</v>
      </c>
      <c r="C263" s="83" t="s">
        <v>190</v>
      </c>
      <c r="D263" s="84" t="e">
        <f t="shared" ref="D263:I263" si="126">SUM(D264)</f>
        <v>#REF!</v>
      </c>
      <c r="E263" s="84" t="e">
        <f t="shared" si="126"/>
        <v>#REF!</v>
      </c>
      <c r="F263" s="84">
        <f t="shared" si="126"/>
        <v>24722.28</v>
      </c>
      <c r="G263" s="84">
        <f t="shared" si="126"/>
        <v>114722.28</v>
      </c>
      <c r="H263" s="84">
        <f t="shared" si="126"/>
        <v>114722.28</v>
      </c>
      <c r="I263" s="84">
        <f t="shared" si="126"/>
        <v>114722.28</v>
      </c>
    </row>
    <row r="264" spans="1:9" x14ac:dyDescent="0.25">
      <c r="A264" s="38"/>
      <c r="B264" s="82">
        <v>42311</v>
      </c>
      <c r="C264" s="82" t="s">
        <v>467</v>
      </c>
      <c r="D264" s="80" t="e">
        <f>' PRIHODI I RASHODI-izvori'!E444+' PRIHODI I RASHODI-izvori'!E99</f>
        <v>#REF!</v>
      </c>
      <c r="E264" s="80" t="e">
        <f>' PRIHODI I RASHODI-izvori'!F444+' PRIHODI I RASHODI-izvori'!F99</f>
        <v>#REF!</v>
      </c>
      <c r="F264" s="80">
        <f>' PRIHODI I RASHODI-izvori'!G99+' PRIHODI I RASHODI-izvori'!G444</f>
        <v>24722.28</v>
      </c>
      <c r="G264" s="80">
        <f>' PRIHODI I RASHODI-izvori'!H99+' PRIHODI I RASHODI-izvori'!H444</f>
        <v>114722.28</v>
      </c>
      <c r="H264" s="80">
        <f>' PRIHODI I RASHODI-izvori'!I99+' PRIHODI I RASHODI-izvori'!I444</f>
        <v>114722.28</v>
      </c>
      <c r="I264" s="80">
        <f>' PRIHODI I RASHODI-izvori'!J99+' PRIHODI I RASHODI-izvori'!J444</f>
        <v>114722.28</v>
      </c>
    </row>
    <row r="265" spans="1:9" s="89" customFormat="1" x14ac:dyDescent="0.25">
      <c r="A265" s="38"/>
      <c r="B265" s="83">
        <v>426</v>
      </c>
      <c r="C265" s="83" t="s">
        <v>308</v>
      </c>
      <c r="D265" s="84" t="e">
        <f t="shared" ref="D265:I266" si="127">D266</f>
        <v>#REF!</v>
      </c>
      <c r="E265" s="84" t="e">
        <f t="shared" si="127"/>
        <v>#REF!</v>
      </c>
      <c r="F265" s="84">
        <f t="shared" si="127"/>
        <v>2000</v>
      </c>
      <c r="G265" s="84">
        <f t="shared" si="127"/>
        <v>2000</v>
      </c>
      <c r="H265" s="84">
        <f t="shared" si="127"/>
        <v>2000</v>
      </c>
      <c r="I265" s="84">
        <f t="shared" si="127"/>
        <v>2000</v>
      </c>
    </row>
    <row r="266" spans="1:9" x14ac:dyDescent="0.25">
      <c r="A266" s="38"/>
      <c r="B266" s="83">
        <v>4262</v>
      </c>
      <c r="C266" s="83" t="s">
        <v>192</v>
      </c>
      <c r="D266" s="84" t="e">
        <f>D267</f>
        <v>#REF!</v>
      </c>
      <c r="E266" s="84" t="e">
        <f t="shared" si="127"/>
        <v>#REF!</v>
      </c>
      <c r="F266" s="84">
        <f t="shared" si="127"/>
        <v>2000</v>
      </c>
      <c r="G266" s="84">
        <f t="shared" si="127"/>
        <v>2000</v>
      </c>
      <c r="H266" s="84">
        <f t="shared" si="127"/>
        <v>2000</v>
      </c>
      <c r="I266" s="84">
        <f t="shared" si="127"/>
        <v>2000</v>
      </c>
    </row>
    <row r="267" spans="1:9" x14ac:dyDescent="0.25">
      <c r="A267" s="54"/>
      <c r="B267" s="82">
        <v>42621</v>
      </c>
      <c r="C267" s="82" t="s">
        <v>192</v>
      </c>
      <c r="D267" s="80" t="e">
        <f>' PRIHODI I RASHODI-izvori'!E102</f>
        <v>#REF!</v>
      </c>
      <c r="E267" s="80" t="e">
        <f>' PRIHODI I RASHODI-izvori'!F102</f>
        <v>#REF!</v>
      </c>
      <c r="F267" s="80">
        <f>' PRIHODI I RASHODI-izvori'!G102</f>
        <v>2000</v>
      </c>
      <c r="G267" s="80">
        <f>' PRIHODI I RASHODI-izvori'!H102</f>
        <v>2000</v>
      </c>
      <c r="H267" s="80">
        <f>' PRIHODI I RASHODI-izvori'!I102</f>
        <v>2000</v>
      </c>
      <c r="I267" s="80">
        <f>' PRIHODI I RASHODI-izvori'!J102</f>
        <v>2000</v>
      </c>
    </row>
    <row r="268" spans="1:9" x14ac:dyDescent="0.25">
      <c r="A268" s="38"/>
      <c r="B268" s="98">
        <v>45</v>
      </c>
      <c r="C268" s="98" t="s">
        <v>196</v>
      </c>
      <c r="D268" s="99" t="e">
        <f t="shared" ref="D268" si="128">SUM(D269,D272)</f>
        <v>#REF!</v>
      </c>
      <c r="E268" s="99" t="e">
        <f t="shared" ref="E268:I268" si="129">SUM(E269,E272)</f>
        <v>#REF!</v>
      </c>
      <c r="F268" s="99">
        <f t="shared" ref="F268" si="130">SUM(F269,F272)</f>
        <v>89000</v>
      </c>
      <c r="G268" s="99">
        <f t="shared" si="129"/>
        <v>186000</v>
      </c>
      <c r="H268" s="99">
        <f t="shared" si="129"/>
        <v>186000</v>
      </c>
      <c r="I268" s="99">
        <f t="shared" si="129"/>
        <v>186000</v>
      </c>
    </row>
    <row r="269" spans="1:9" x14ac:dyDescent="0.25">
      <c r="A269" s="38"/>
      <c r="B269" s="83">
        <v>451</v>
      </c>
      <c r="C269" s="83" t="s">
        <v>204</v>
      </c>
      <c r="D269" s="84" t="e">
        <f t="shared" ref="D269:I270" si="131">SUM(D270)</f>
        <v>#REF!</v>
      </c>
      <c r="E269" s="84" t="e">
        <f t="shared" si="131"/>
        <v>#REF!</v>
      </c>
      <c r="F269" s="84">
        <f t="shared" si="131"/>
        <v>89000</v>
      </c>
      <c r="G269" s="84">
        <f t="shared" si="131"/>
        <v>186000</v>
      </c>
      <c r="H269" s="84">
        <f t="shared" si="131"/>
        <v>186000</v>
      </c>
      <c r="I269" s="84">
        <f t="shared" si="131"/>
        <v>186000</v>
      </c>
    </row>
    <row r="270" spans="1:9" x14ac:dyDescent="0.25">
      <c r="A270" s="38"/>
      <c r="B270" s="83">
        <v>4511</v>
      </c>
      <c r="C270" s="83" t="s">
        <v>196</v>
      </c>
      <c r="D270" s="84" t="e">
        <f t="shared" si="131"/>
        <v>#REF!</v>
      </c>
      <c r="E270" s="84" t="e">
        <f t="shared" si="131"/>
        <v>#REF!</v>
      </c>
      <c r="F270" s="84">
        <f t="shared" si="131"/>
        <v>89000</v>
      </c>
      <c r="G270" s="84">
        <f t="shared" si="131"/>
        <v>186000</v>
      </c>
      <c r="H270" s="84">
        <f t="shared" si="131"/>
        <v>186000</v>
      </c>
      <c r="I270" s="84">
        <f t="shared" si="131"/>
        <v>186000</v>
      </c>
    </row>
    <row r="271" spans="1:9" x14ac:dyDescent="0.25">
      <c r="A271" s="38"/>
      <c r="B271" s="82">
        <v>45111</v>
      </c>
      <c r="C271" s="82" t="s">
        <v>196</v>
      </c>
      <c r="D271" s="80" t="e">
        <f>' PRIHODI I RASHODI-izvori'!E106+' PRIHODI I RASHODI-izvori'!E450+' PRIHODI I RASHODI-izvori'!E581</f>
        <v>#REF!</v>
      </c>
      <c r="E271" s="80" t="e">
        <f>' PRIHODI I RASHODI-izvori'!F106+' PRIHODI I RASHODI-izvori'!F450+' PRIHODI I RASHODI-izvori'!F581</f>
        <v>#REF!</v>
      </c>
      <c r="F271" s="80">
        <f>' PRIHODI I RASHODI-izvori'!G106+' PRIHODI I RASHODI-izvori'!G450</f>
        <v>89000</v>
      </c>
      <c r="G271" s="80">
        <f>' PRIHODI I RASHODI-izvori'!H106+' PRIHODI I RASHODI-izvori'!H450</f>
        <v>186000</v>
      </c>
      <c r="H271" s="80">
        <f>' PRIHODI I RASHODI-izvori'!I106+' PRIHODI I RASHODI-izvori'!I450</f>
        <v>186000</v>
      </c>
      <c r="I271" s="80">
        <f>' PRIHODI I RASHODI-izvori'!J106+' PRIHODI I RASHODI-izvori'!J450</f>
        <v>186000</v>
      </c>
    </row>
    <row r="272" spans="1:9" s="89" customFormat="1" hidden="1" x14ac:dyDescent="0.25">
      <c r="A272" s="102"/>
      <c r="B272" s="83">
        <v>452</v>
      </c>
      <c r="C272" s="83" t="s">
        <v>199</v>
      </c>
      <c r="D272" s="84">
        <f t="shared" ref="D272:I272" si="132">D273</f>
        <v>0</v>
      </c>
      <c r="E272" s="84">
        <f t="shared" si="132"/>
        <v>0</v>
      </c>
      <c r="F272" s="84"/>
      <c r="G272" s="84">
        <f t="shared" si="132"/>
        <v>0</v>
      </c>
      <c r="H272" s="84">
        <f t="shared" si="132"/>
        <v>0</v>
      </c>
      <c r="I272" s="84">
        <f t="shared" si="132"/>
        <v>0</v>
      </c>
    </row>
    <row r="273" spans="1:9" hidden="1" x14ac:dyDescent="0.25">
      <c r="A273" s="102"/>
      <c r="B273" s="83">
        <v>4521</v>
      </c>
      <c r="C273" s="83" t="s">
        <v>199</v>
      </c>
      <c r="D273" s="84"/>
      <c r="E273" s="84"/>
      <c r="F273" s="84"/>
      <c r="G273" s="84"/>
      <c r="H273" s="84"/>
      <c r="I273" s="84"/>
    </row>
    <row r="274" spans="1:9" x14ac:dyDescent="0.25">
      <c r="A274" s="541" t="s">
        <v>309</v>
      </c>
      <c r="B274" s="542"/>
      <c r="C274" s="543"/>
      <c r="D274" s="91" t="e">
        <f>D57+D234</f>
        <v>#REF!</v>
      </c>
      <c r="E274" s="91" t="e">
        <f>E57+E234</f>
        <v>#REF!</v>
      </c>
      <c r="F274" s="91">
        <f>F57+F234</f>
        <v>26784175.230000004</v>
      </c>
      <c r="G274" s="91">
        <f>G57+G234</f>
        <v>27155403.23</v>
      </c>
      <c r="H274" s="91">
        <f t="shared" ref="H274:I274" si="133">H57+H234</f>
        <v>27423628.59</v>
      </c>
      <c r="I274" s="91">
        <f t="shared" si="133"/>
        <v>27667151.609999999</v>
      </c>
    </row>
    <row r="278" spans="1:9" x14ac:dyDescent="0.25">
      <c r="G278" s="103"/>
      <c r="H278" s="103"/>
      <c r="I278" s="103"/>
    </row>
    <row r="279" spans="1:9" ht="63" x14ac:dyDescent="0.25">
      <c r="A279" s="29" t="s">
        <v>3</v>
      </c>
      <c r="B279" s="29" t="s">
        <v>4</v>
      </c>
      <c r="C279" s="34" t="s">
        <v>6</v>
      </c>
      <c r="D279" s="29" t="s">
        <v>552</v>
      </c>
      <c r="E279" s="29" t="s">
        <v>556</v>
      </c>
      <c r="F279" s="14" t="s">
        <v>719</v>
      </c>
      <c r="G279" s="29" t="s">
        <v>554</v>
      </c>
      <c r="H279" s="30" t="s">
        <v>555</v>
      </c>
      <c r="I279" s="30" t="s">
        <v>553</v>
      </c>
    </row>
    <row r="280" spans="1:9" s="105" customFormat="1" x14ac:dyDescent="0.25">
      <c r="A280" s="38">
        <v>9</v>
      </c>
      <c r="B280" s="82"/>
      <c r="C280" s="83" t="s">
        <v>391</v>
      </c>
      <c r="D280" s="104">
        <f t="shared" ref="D280:E281" si="134">D281</f>
        <v>0</v>
      </c>
      <c r="E280" s="104" t="e">
        <f t="shared" si="134"/>
        <v>#REF!</v>
      </c>
      <c r="F280" s="104">
        <f>F281</f>
        <v>245592.84999999404</v>
      </c>
      <c r="G280" s="104">
        <f>G281</f>
        <v>245592.84999999776</v>
      </c>
      <c r="H280" s="104">
        <f t="shared" ref="H280:I281" si="135">H281</f>
        <v>652563.60000000149</v>
      </c>
      <c r="I280" s="104">
        <f t="shared" si="135"/>
        <v>879976.30999999866</v>
      </c>
    </row>
    <row r="281" spans="1:9" s="105" customFormat="1" x14ac:dyDescent="0.25">
      <c r="A281" s="38"/>
      <c r="B281" s="106">
        <v>922</v>
      </c>
      <c r="C281" s="83" t="s">
        <v>392</v>
      </c>
      <c r="D281" s="104">
        <f t="shared" si="134"/>
        <v>0</v>
      </c>
      <c r="E281" s="104" t="e">
        <f t="shared" si="134"/>
        <v>#REF!</v>
      </c>
      <c r="F281" s="104">
        <f>F282</f>
        <v>245592.84999999404</v>
      </c>
      <c r="G281" s="104">
        <f>G282</f>
        <v>245592.84999999776</v>
      </c>
      <c r="H281" s="104">
        <f t="shared" si="135"/>
        <v>652563.60000000149</v>
      </c>
      <c r="I281" s="104">
        <f t="shared" si="135"/>
        <v>879976.30999999866</v>
      </c>
    </row>
    <row r="282" spans="1:9" x14ac:dyDescent="0.25">
      <c r="A282" s="38"/>
      <c r="B282" s="107">
        <v>9221</v>
      </c>
      <c r="C282" s="82" t="s">
        <v>393</v>
      </c>
      <c r="D282" s="108">
        <f t="shared" ref="D282:E282" si="136">D284</f>
        <v>0</v>
      </c>
      <c r="E282" s="108" t="e">
        <f t="shared" si="136"/>
        <v>#REF!</v>
      </c>
      <c r="F282" s="108">
        <f>F284</f>
        <v>245592.84999999404</v>
      </c>
      <c r="G282" s="108">
        <f>G284</f>
        <v>245592.84999999776</v>
      </c>
      <c r="H282" s="108">
        <f t="shared" ref="H282:I282" si="137">H284</f>
        <v>652563.60000000149</v>
      </c>
      <c r="I282" s="108">
        <f t="shared" si="137"/>
        <v>879976.30999999866</v>
      </c>
    </row>
    <row r="283" spans="1:9" x14ac:dyDescent="0.25">
      <c r="A283" s="38"/>
      <c r="B283" s="82"/>
      <c r="C283" s="82" t="s">
        <v>394</v>
      </c>
      <c r="D283" s="109"/>
      <c r="E283" s="109"/>
      <c r="F283" s="109"/>
      <c r="G283" s="109"/>
      <c r="H283" s="82"/>
      <c r="I283" s="82"/>
    </row>
    <row r="284" spans="1:9" x14ac:dyDescent="0.25">
      <c r="A284" s="38"/>
      <c r="B284" s="82"/>
      <c r="C284" s="82" t="s">
        <v>395</v>
      </c>
      <c r="D284" s="108">
        <f>SAŽETAK!G36</f>
        <v>0</v>
      </c>
      <c r="E284" s="108" t="e">
        <f>SAŽETAK!H36</f>
        <v>#REF!</v>
      </c>
      <c r="F284" s="108">
        <f>SAŽETAK!I37</f>
        <v>245592.84999999404</v>
      </c>
      <c r="G284" s="108">
        <f>SAŽETAK!J37</f>
        <v>245592.84999999776</v>
      </c>
      <c r="H284" s="108">
        <f>SAŽETAK!K37</f>
        <v>652563.60000000149</v>
      </c>
      <c r="I284" s="108">
        <f>SAŽETAK!L37</f>
        <v>879976.30999999866</v>
      </c>
    </row>
  </sheetData>
  <mergeCells count="10">
    <mergeCell ref="A51:C51"/>
    <mergeCell ref="A54:I54"/>
    <mergeCell ref="A56:C56"/>
    <mergeCell ref="A274:C274"/>
    <mergeCell ref="A1:I1"/>
    <mergeCell ref="A2:I3"/>
    <mergeCell ref="A4:I4"/>
    <mergeCell ref="B5:I5"/>
    <mergeCell ref="A7:I7"/>
    <mergeCell ref="A9:C9"/>
  </mergeCells>
  <pageMargins left="0.7" right="0.7" top="0.75" bottom="0.75" header="0.3" footer="0.3"/>
  <pageSetup paperSize="9"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22"/>
  <sheetViews>
    <sheetView zoomScaleNormal="100" workbookViewId="0">
      <selection activeCell="Q66" sqref="Q66"/>
    </sheetView>
  </sheetViews>
  <sheetFormatPr defaultRowHeight="15.75" x14ac:dyDescent="0.25"/>
  <cols>
    <col min="1" max="1" width="7.85546875" style="116" customWidth="1"/>
    <col min="2" max="2" width="11.7109375" style="116" customWidth="1"/>
    <col min="3" max="3" width="5.7109375" style="116" customWidth="1"/>
    <col min="4" max="4" width="61" style="116" customWidth="1"/>
    <col min="5" max="5" width="19.140625" style="116" hidden="1" customWidth="1"/>
    <col min="6" max="6" width="2.42578125" style="116" hidden="1" customWidth="1"/>
    <col min="7" max="7" width="18.42578125" style="116" bestFit="1" customWidth="1"/>
    <col min="8" max="8" width="18.42578125" style="274" bestFit="1" customWidth="1"/>
    <col min="9" max="10" width="18.85546875" style="116" hidden="1" customWidth="1"/>
    <col min="11" max="242" width="9.140625" style="116"/>
    <col min="243" max="243" width="7" style="116" bestFit="1" customWidth="1"/>
    <col min="244" max="244" width="10" style="116" customWidth="1"/>
    <col min="245" max="245" width="5.28515625" style="116" bestFit="1" customWidth="1"/>
    <col min="246" max="246" width="55" style="116" customWidth="1"/>
    <col min="247" max="247" width="17" style="116" bestFit="1" customWidth="1"/>
    <col min="248" max="248" width="19.140625" style="116" customWidth="1"/>
    <col min="249" max="249" width="19.42578125" style="116" customWidth="1"/>
    <col min="250" max="254" width="15.140625" style="116" customWidth="1"/>
    <col min="255" max="257" width="0" style="116" hidden="1" customWidth="1"/>
    <col min="258" max="259" width="10.7109375" style="116" bestFit="1" customWidth="1"/>
    <col min="260" max="260" width="10.28515625" style="116" bestFit="1" customWidth="1"/>
    <col min="261" max="261" width="11.85546875" style="116" bestFit="1" customWidth="1"/>
    <col min="262" max="262" width="15.42578125" style="116" customWidth="1"/>
    <col min="263" max="498" width="9.140625" style="116"/>
    <col min="499" max="499" width="7" style="116" bestFit="1" customWidth="1"/>
    <col min="500" max="500" width="10" style="116" customWidth="1"/>
    <col min="501" max="501" width="5.28515625" style="116" bestFit="1" customWidth="1"/>
    <col min="502" max="502" width="55" style="116" customWidth="1"/>
    <col min="503" max="503" width="17" style="116" bestFit="1" customWidth="1"/>
    <col min="504" max="504" width="19.140625" style="116" customWidth="1"/>
    <col min="505" max="505" width="19.42578125" style="116" customWidth="1"/>
    <col min="506" max="510" width="15.140625" style="116" customWidth="1"/>
    <col min="511" max="513" width="0" style="116" hidden="1" customWidth="1"/>
    <col min="514" max="515" width="10.7109375" style="116" bestFit="1" customWidth="1"/>
    <col min="516" max="516" width="10.28515625" style="116" bestFit="1" customWidth="1"/>
    <col min="517" max="517" width="11.85546875" style="116" bestFit="1" customWidth="1"/>
    <col min="518" max="518" width="15.42578125" style="116" customWidth="1"/>
    <col min="519" max="754" width="9.140625" style="116"/>
    <col min="755" max="755" width="7" style="116" bestFit="1" customWidth="1"/>
    <col min="756" max="756" width="10" style="116" customWidth="1"/>
    <col min="757" max="757" width="5.28515625" style="116" bestFit="1" customWidth="1"/>
    <col min="758" max="758" width="55" style="116" customWidth="1"/>
    <col min="759" max="759" width="17" style="116" bestFit="1" customWidth="1"/>
    <col min="760" max="760" width="19.140625" style="116" customWidth="1"/>
    <col min="761" max="761" width="19.42578125" style="116" customWidth="1"/>
    <col min="762" max="766" width="15.140625" style="116" customWidth="1"/>
    <col min="767" max="769" width="0" style="116" hidden="1" customWidth="1"/>
    <col min="770" max="771" width="10.7109375" style="116" bestFit="1" customWidth="1"/>
    <col min="772" max="772" width="10.28515625" style="116" bestFit="1" customWidth="1"/>
    <col min="773" max="773" width="11.85546875" style="116" bestFit="1" customWidth="1"/>
    <col min="774" max="774" width="15.42578125" style="116" customWidth="1"/>
    <col min="775" max="1010" width="9.140625" style="116"/>
    <col min="1011" max="1011" width="7" style="116" bestFit="1" customWidth="1"/>
    <col min="1012" max="1012" width="10" style="116" customWidth="1"/>
    <col min="1013" max="1013" width="5.28515625" style="116" bestFit="1" customWidth="1"/>
    <col min="1014" max="1014" width="55" style="116" customWidth="1"/>
    <col min="1015" max="1015" width="17" style="116" bestFit="1" customWidth="1"/>
    <col min="1016" max="1016" width="19.140625" style="116" customWidth="1"/>
    <col min="1017" max="1017" width="19.42578125" style="116" customWidth="1"/>
    <col min="1018" max="1022" width="15.140625" style="116" customWidth="1"/>
    <col min="1023" max="1025" width="0" style="116" hidden="1" customWidth="1"/>
    <col min="1026" max="1027" width="10.7109375" style="116" bestFit="1" customWidth="1"/>
    <col min="1028" max="1028" width="10.28515625" style="116" bestFit="1" customWidth="1"/>
    <col min="1029" max="1029" width="11.85546875" style="116" bestFit="1" customWidth="1"/>
    <col min="1030" max="1030" width="15.42578125" style="116" customWidth="1"/>
    <col min="1031" max="1266" width="9.140625" style="116"/>
    <col min="1267" max="1267" width="7" style="116" bestFit="1" customWidth="1"/>
    <col min="1268" max="1268" width="10" style="116" customWidth="1"/>
    <col min="1269" max="1269" width="5.28515625" style="116" bestFit="1" customWidth="1"/>
    <col min="1270" max="1270" width="55" style="116" customWidth="1"/>
    <col min="1271" max="1271" width="17" style="116" bestFit="1" customWidth="1"/>
    <col min="1272" max="1272" width="19.140625" style="116" customWidth="1"/>
    <col min="1273" max="1273" width="19.42578125" style="116" customWidth="1"/>
    <col min="1274" max="1278" width="15.140625" style="116" customWidth="1"/>
    <col min="1279" max="1281" width="0" style="116" hidden="1" customWidth="1"/>
    <col min="1282" max="1283" width="10.7109375" style="116" bestFit="1" customWidth="1"/>
    <col min="1284" max="1284" width="10.28515625" style="116" bestFit="1" customWidth="1"/>
    <col min="1285" max="1285" width="11.85546875" style="116" bestFit="1" customWidth="1"/>
    <col min="1286" max="1286" width="15.42578125" style="116" customWidth="1"/>
    <col min="1287" max="1522" width="9.140625" style="116"/>
    <col min="1523" max="1523" width="7" style="116" bestFit="1" customWidth="1"/>
    <col min="1524" max="1524" width="10" style="116" customWidth="1"/>
    <col min="1525" max="1525" width="5.28515625" style="116" bestFit="1" customWidth="1"/>
    <col min="1526" max="1526" width="55" style="116" customWidth="1"/>
    <col min="1527" max="1527" width="17" style="116" bestFit="1" customWidth="1"/>
    <col min="1528" max="1528" width="19.140625" style="116" customWidth="1"/>
    <col min="1529" max="1529" width="19.42578125" style="116" customWidth="1"/>
    <col min="1530" max="1534" width="15.140625" style="116" customWidth="1"/>
    <col min="1535" max="1537" width="0" style="116" hidden="1" customWidth="1"/>
    <col min="1538" max="1539" width="10.7109375" style="116" bestFit="1" customWidth="1"/>
    <col min="1540" max="1540" width="10.28515625" style="116" bestFit="1" customWidth="1"/>
    <col min="1541" max="1541" width="11.85546875" style="116" bestFit="1" customWidth="1"/>
    <col min="1542" max="1542" width="15.42578125" style="116" customWidth="1"/>
    <col min="1543" max="1778" width="9.140625" style="116"/>
    <col min="1779" max="1779" width="7" style="116" bestFit="1" customWidth="1"/>
    <col min="1780" max="1780" width="10" style="116" customWidth="1"/>
    <col min="1781" max="1781" width="5.28515625" style="116" bestFit="1" customWidth="1"/>
    <col min="1782" max="1782" width="55" style="116" customWidth="1"/>
    <col min="1783" max="1783" width="17" style="116" bestFit="1" customWidth="1"/>
    <col min="1784" max="1784" width="19.140625" style="116" customWidth="1"/>
    <col min="1785" max="1785" width="19.42578125" style="116" customWidth="1"/>
    <col min="1786" max="1790" width="15.140625" style="116" customWidth="1"/>
    <col min="1791" max="1793" width="0" style="116" hidden="1" customWidth="1"/>
    <col min="1794" max="1795" width="10.7109375" style="116" bestFit="1" customWidth="1"/>
    <col min="1796" max="1796" width="10.28515625" style="116" bestFit="1" customWidth="1"/>
    <col min="1797" max="1797" width="11.85546875" style="116" bestFit="1" customWidth="1"/>
    <col min="1798" max="1798" width="15.42578125" style="116" customWidth="1"/>
    <col min="1799" max="2034" width="9.140625" style="116"/>
    <col min="2035" max="2035" width="7" style="116" bestFit="1" customWidth="1"/>
    <col min="2036" max="2036" width="10" style="116" customWidth="1"/>
    <col min="2037" max="2037" width="5.28515625" style="116" bestFit="1" customWidth="1"/>
    <col min="2038" max="2038" width="55" style="116" customWidth="1"/>
    <col min="2039" max="2039" width="17" style="116" bestFit="1" customWidth="1"/>
    <col min="2040" max="2040" width="19.140625" style="116" customWidth="1"/>
    <col min="2041" max="2041" width="19.42578125" style="116" customWidth="1"/>
    <col min="2042" max="2046" width="15.140625" style="116" customWidth="1"/>
    <col min="2047" max="2049" width="0" style="116" hidden="1" customWidth="1"/>
    <col min="2050" max="2051" width="10.7109375" style="116" bestFit="1" customWidth="1"/>
    <col min="2052" max="2052" width="10.28515625" style="116" bestFit="1" customWidth="1"/>
    <col min="2053" max="2053" width="11.85546875" style="116" bestFit="1" customWidth="1"/>
    <col min="2054" max="2054" width="15.42578125" style="116" customWidth="1"/>
    <col min="2055" max="2290" width="9.140625" style="116"/>
    <col min="2291" max="2291" width="7" style="116" bestFit="1" customWidth="1"/>
    <col min="2292" max="2292" width="10" style="116" customWidth="1"/>
    <col min="2293" max="2293" width="5.28515625" style="116" bestFit="1" customWidth="1"/>
    <col min="2294" max="2294" width="55" style="116" customWidth="1"/>
    <col min="2295" max="2295" width="17" style="116" bestFit="1" customWidth="1"/>
    <col min="2296" max="2296" width="19.140625" style="116" customWidth="1"/>
    <col min="2297" max="2297" width="19.42578125" style="116" customWidth="1"/>
    <col min="2298" max="2302" width="15.140625" style="116" customWidth="1"/>
    <col min="2303" max="2305" width="0" style="116" hidden="1" customWidth="1"/>
    <col min="2306" max="2307" width="10.7109375" style="116" bestFit="1" customWidth="1"/>
    <col min="2308" max="2308" width="10.28515625" style="116" bestFit="1" customWidth="1"/>
    <col min="2309" max="2309" width="11.85546875" style="116" bestFit="1" customWidth="1"/>
    <col min="2310" max="2310" width="15.42578125" style="116" customWidth="1"/>
    <col min="2311" max="2546" width="9.140625" style="116"/>
    <col min="2547" max="2547" width="7" style="116" bestFit="1" customWidth="1"/>
    <col min="2548" max="2548" width="10" style="116" customWidth="1"/>
    <col min="2549" max="2549" width="5.28515625" style="116" bestFit="1" customWidth="1"/>
    <col min="2550" max="2550" width="55" style="116" customWidth="1"/>
    <col min="2551" max="2551" width="17" style="116" bestFit="1" customWidth="1"/>
    <col min="2552" max="2552" width="19.140625" style="116" customWidth="1"/>
    <col min="2553" max="2553" width="19.42578125" style="116" customWidth="1"/>
    <col min="2554" max="2558" width="15.140625" style="116" customWidth="1"/>
    <col min="2559" max="2561" width="0" style="116" hidden="1" customWidth="1"/>
    <col min="2562" max="2563" width="10.7109375" style="116" bestFit="1" customWidth="1"/>
    <col min="2564" max="2564" width="10.28515625" style="116" bestFit="1" customWidth="1"/>
    <col min="2565" max="2565" width="11.85546875" style="116" bestFit="1" customWidth="1"/>
    <col min="2566" max="2566" width="15.42578125" style="116" customWidth="1"/>
    <col min="2567" max="2802" width="9.140625" style="116"/>
    <col min="2803" max="2803" width="7" style="116" bestFit="1" customWidth="1"/>
    <col min="2804" max="2804" width="10" style="116" customWidth="1"/>
    <col min="2805" max="2805" width="5.28515625" style="116" bestFit="1" customWidth="1"/>
    <col min="2806" max="2806" width="55" style="116" customWidth="1"/>
    <col min="2807" max="2807" width="17" style="116" bestFit="1" customWidth="1"/>
    <col min="2808" max="2808" width="19.140625" style="116" customWidth="1"/>
    <col min="2809" max="2809" width="19.42578125" style="116" customWidth="1"/>
    <col min="2810" max="2814" width="15.140625" style="116" customWidth="1"/>
    <col min="2815" max="2817" width="0" style="116" hidden="1" customWidth="1"/>
    <col min="2818" max="2819" width="10.7109375" style="116" bestFit="1" customWidth="1"/>
    <col min="2820" max="2820" width="10.28515625" style="116" bestFit="1" customWidth="1"/>
    <col min="2821" max="2821" width="11.85546875" style="116" bestFit="1" customWidth="1"/>
    <col min="2822" max="2822" width="15.42578125" style="116" customWidth="1"/>
    <col min="2823" max="3058" width="9.140625" style="116"/>
    <col min="3059" max="3059" width="7" style="116" bestFit="1" customWidth="1"/>
    <col min="3060" max="3060" width="10" style="116" customWidth="1"/>
    <col min="3061" max="3061" width="5.28515625" style="116" bestFit="1" customWidth="1"/>
    <col min="3062" max="3062" width="55" style="116" customWidth="1"/>
    <col min="3063" max="3063" width="17" style="116" bestFit="1" customWidth="1"/>
    <col min="3064" max="3064" width="19.140625" style="116" customWidth="1"/>
    <col min="3065" max="3065" width="19.42578125" style="116" customWidth="1"/>
    <col min="3066" max="3070" width="15.140625" style="116" customWidth="1"/>
    <col min="3071" max="3073" width="0" style="116" hidden="1" customWidth="1"/>
    <col min="3074" max="3075" width="10.7109375" style="116" bestFit="1" customWidth="1"/>
    <col min="3076" max="3076" width="10.28515625" style="116" bestFit="1" customWidth="1"/>
    <col min="3077" max="3077" width="11.85546875" style="116" bestFit="1" customWidth="1"/>
    <col min="3078" max="3078" width="15.42578125" style="116" customWidth="1"/>
    <col min="3079" max="3314" width="9.140625" style="116"/>
    <col min="3315" max="3315" width="7" style="116" bestFit="1" customWidth="1"/>
    <col min="3316" max="3316" width="10" style="116" customWidth="1"/>
    <col min="3317" max="3317" width="5.28515625" style="116" bestFit="1" customWidth="1"/>
    <col min="3318" max="3318" width="55" style="116" customWidth="1"/>
    <col min="3319" max="3319" width="17" style="116" bestFit="1" customWidth="1"/>
    <col min="3320" max="3320" width="19.140625" style="116" customWidth="1"/>
    <col min="3321" max="3321" width="19.42578125" style="116" customWidth="1"/>
    <col min="3322" max="3326" width="15.140625" style="116" customWidth="1"/>
    <col min="3327" max="3329" width="0" style="116" hidden="1" customWidth="1"/>
    <col min="3330" max="3331" width="10.7109375" style="116" bestFit="1" customWidth="1"/>
    <col min="3332" max="3332" width="10.28515625" style="116" bestFit="1" customWidth="1"/>
    <col min="3333" max="3333" width="11.85546875" style="116" bestFit="1" customWidth="1"/>
    <col min="3334" max="3334" width="15.42578125" style="116" customWidth="1"/>
    <col min="3335" max="3570" width="9.140625" style="116"/>
    <col min="3571" max="3571" width="7" style="116" bestFit="1" customWidth="1"/>
    <col min="3572" max="3572" width="10" style="116" customWidth="1"/>
    <col min="3573" max="3573" width="5.28515625" style="116" bestFit="1" customWidth="1"/>
    <col min="3574" max="3574" width="55" style="116" customWidth="1"/>
    <col min="3575" max="3575" width="17" style="116" bestFit="1" customWidth="1"/>
    <col min="3576" max="3576" width="19.140625" style="116" customWidth="1"/>
    <col min="3577" max="3577" width="19.42578125" style="116" customWidth="1"/>
    <col min="3578" max="3582" width="15.140625" style="116" customWidth="1"/>
    <col min="3583" max="3585" width="0" style="116" hidden="1" customWidth="1"/>
    <col min="3586" max="3587" width="10.7109375" style="116" bestFit="1" customWidth="1"/>
    <col min="3588" max="3588" width="10.28515625" style="116" bestFit="1" customWidth="1"/>
    <col min="3589" max="3589" width="11.85546875" style="116" bestFit="1" customWidth="1"/>
    <col min="3590" max="3590" width="15.42578125" style="116" customWidth="1"/>
    <col min="3591" max="3826" width="9.140625" style="116"/>
    <col min="3827" max="3827" width="7" style="116" bestFit="1" customWidth="1"/>
    <col min="3828" max="3828" width="10" style="116" customWidth="1"/>
    <col min="3829" max="3829" width="5.28515625" style="116" bestFit="1" customWidth="1"/>
    <col min="3830" max="3830" width="55" style="116" customWidth="1"/>
    <col min="3831" max="3831" width="17" style="116" bestFit="1" customWidth="1"/>
    <col min="3832" max="3832" width="19.140625" style="116" customWidth="1"/>
    <col min="3833" max="3833" width="19.42578125" style="116" customWidth="1"/>
    <col min="3834" max="3838" width="15.140625" style="116" customWidth="1"/>
    <col min="3839" max="3841" width="0" style="116" hidden="1" customWidth="1"/>
    <col min="3842" max="3843" width="10.7109375" style="116" bestFit="1" customWidth="1"/>
    <col min="3844" max="3844" width="10.28515625" style="116" bestFit="1" customWidth="1"/>
    <col min="3845" max="3845" width="11.85546875" style="116" bestFit="1" customWidth="1"/>
    <col min="3846" max="3846" width="15.42578125" style="116" customWidth="1"/>
    <col min="3847" max="4082" width="9.140625" style="116"/>
    <col min="4083" max="4083" width="7" style="116" bestFit="1" customWidth="1"/>
    <col min="4084" max="4084" width="10" style="116" customWidth="1"/>
    <col min="4085" max="4085" width="5.28515625" style="116" bestFit="1" customWidth="1"/>
    <col min="4086" max="4086" width="55" style="116" customWidth="1"/>
    <col min="4087" max="4087" width="17" style="116" bestFit="1" customWidth="1"/>
    <col min="4088" max="4088" width="19.140625" style="116" customWidth="1"/>
    <col min="4089" max="4089" width="19.42578125" style="116" customWidth="1"/>
    <col min="4090" max="4094" width="15.140625" style="116" customWidth="1"/>
    <col min="4095" max="4097" width="0" style="116" hidden="1" customWidth="1"/>
    <col min="4098" max="4099" width="10.7109375" style="116" bestFit="1" customWidth="1"/>
    <col min="4100" max="4100" width="10.28515625" style="116" bestFit="1" customWidth="1"/>
    <col min="4101" max="4101" width="11.85546875" style="116" bestFit="1" customWidth="1"/>
    <col min="4102" max="4102" width="15.42578125" style="116" customWidth="1"/>
    <col min="4103" max="4338" width="9.140625" style="116"/>
    <col min="4339" max="4339" width="7" style="116" bestFit="1" customWidth="1"/>
    <col min="4340" max="4340" width="10" style="116" customWidth="1"/>
    <col min="4341" max="4341" width="5.28515625" style="116" bestFit="1" customWidth="1"/>
    <col min="4342" max="4342" width="55" style="116" customWidth="1"/>
    <col min="4343" max="4343" width="17" style="116" bestFit="1" customWidth="1"/>
    <col min="4344" max="4344" width="19.140625" style="116" customWidth="1"/>
    <col min="4345" max="4345" width="19.42578125" style="116" customWidth="1"/>
    <col min="4346" max="4350" width="15.140625" style="116" customWidth="1"/>
    <col min="4351" max="4353" width="0" style="116" hidden="1" customWidth="1"/>
    <col min="4354" max="4355" width="10.7109375" style="116" bestFit="1" customWidth="1"/>
    <col min="4356" max="4356" width="10.28515625" style="116" bestFit="1" customWidth="1"/>
    <col min="4357" max="4357" width="11.85546875" style="116" bestFit="1" customWidth="1"/>
    <col min="4358" max="4358" width="15.42578125" style="116" customWidth="1"/>
    <col min="4359" max="4594" width="9.140625" style="116"/>
    <col min="4595" max="4595" width="7" style="116" bestFit="1" customWidth="1"/>
    <col min="4596" max="4596" width="10" style="116" customWidth="1"/>
    <col min="4597" max="4597" width="5.28515625" style="116" bestFit="1" customWidth="1"/>
    <col min="4598" max="4598" width="55" style="116" customWidth="1"/>
    <col min="4599" max="4599" width="17" style="116" bestFit="1" customWidth="1"/>
    <col min="4600" max="4600" width="19.140625" style="116" customWidth="1"/>
    <col min="4601" max="4601" width="19.42578125" style="116" customWidth="1"/>
    <col min="4602" max="4606" width="15.140625" style="116" customWidth="1"/>
    <col min="4607" max="4609" width="0" style="116" hidden="1" customWidth="1"/>
    <col min="4610" max="4611" width="10.7109375" style="116" bestFit="1" customWidth="1"/>
    <col min="4612" max="4612" width="10.28515625" style="116" bestFit="1" customWidth="1"/>
    <col min="4613" max="4613" width="11.85546875" style="116" bestFit="1" customWidth="1"/>
    <col min="4614" max="4614" width="15.42578125" style="116" customWidth="1"/>
    <col min="4615" max="4850" width="9.140625" style="116"/>
    <col min="4851" max="4851" width="7" style="116" bestFit="1" customWidth="1"/>
    <col min="4852" max="4852" width="10" style="116" customWidth="1"/>
    <col min="4853" max="4853" width="5.28515625" style="116" bestFit="1" customWidth="1"/>
    <col min="4854" max="4854" width="55" style="116" customWidth="1"/>
    <col min="4855" max="4855" width="17" style="116" bestFit="1" customWidth="1"/>
    <col min="4856" max="4856" width="19.140625" style="116" customWidth="1"/>
    <col min="4857" max="4857" width="19.42578125" style="116" customWidth="1"/>
    <col min="4858" max="4862" width="15.140625" style="116" customWidth="1"/>
    <col min="4863" max="4865" width="0" style="116" hidden="1" customWidth="1"/>
    <col min="4866" max="4867" width="10.7109375" style="116" bestFit="1" customWidth="1"/>
    <col min="4868" max="4868" width="10.28515625" style="116" bestFit="1" customWidth="1"/>
    <col min="4869" max="4869" width="11.85546875" style="116" bestFit="1" customWidth="1"/>
    <col min="4870" max="4870" width="15.42578125" style="116" customWidth="1"/>
    <col min="4871" max="5106" width="9.140625" style="116"/>
    <col min="5107" max="5107" width="7" style="116" bestFit="1" customWidth="1"/>
    <col min="5108" max="5108" width="10" style="116" customWidth="1"/>
    <col min="5109" max="5109" width="5.28515625" style="116" bestFit="1" customWidth="1"/>
    <col min="5110" max="5110" width="55" style="116" customWidth="1"/>
    <col min="5111" max="5111" width="17" style="116" bestFit="1" customWidth="1"/>
    <col min="5112" max="5112" width="19.140625" style="116" customWidth="1"/>
    <col min="5113" max="5113" width="19.42578125" style="116" customWidth="1"/>
    <col min="5114" max="5118" width="15.140625" style="116" customWidth="1"/>
    <col min="5119" max="5121" width="0" style="116" hidden="1" customWidth="1"/>
    <col min="5122" max="5123" width="10.7109375" style="116" bestFit="1" customWidth="1"/>
    <col min="5124" max="5124" width="10.28515625" style="116" bestFit="1" customWidth="1"/>
    <col min="5125" max="5125" width="11.85546875" style="116" bestFit="1" customWidth="1"/>
    <col min="5126" max="5126" width="15.42578125" style="116" customWidth="1"/>
    <col min="5127" max="5362" width="9.140625" style="116"/>
    <col min="5363" max="5363" width="7" style="116" bestFit="1" customWidth="1"/>
    <col min="5364" max="5364" width="10" style="116" customWidth="1"/>
    <col min="5365" max="5365" width="5.28515625" style="116" bestFit="1" customWidth="1"/>
    <col min="5366" max="5366" width="55" style="116" customWidth="1"/>
    <col min="5367" max="5367" width="17" style="116" bestFit="1" customWidth="1"/>
    <col min="5368" max="5368" width="19.140625" style="116" customWidth="1"/>
    <col min="5369" max="5369" width="19.42578125" style="116" customWidth="1"/>
    <col min="5370" max="5374" width="15.140625" style="116" customWidth="1"/>
    <col min="5375" max="5377" width="0" style="116" hidden="1" customWidth="1"/>
    <col min="5378" max="5379" width="10.7109375" style="116" bestFit="1" customWidth="1"/>
    <col min="5380" max="5380" width="10.28515625" style="116" bestFit="1" customWidth="1"/>
    <col min="5381" max="5381" width="11.85546875" style="116" bestFit="1" customWidth="1"/>
    <col min="5382" max="5382" width="15.42578125" style="116" customWidth="1"/>
    <col min="5383" max="5618" width="9.140625" style="116"/>
    <col min="5619" max="5619" width="7" style="116" bestFit="1" customWidth="1"/>
    <col min="5620" max="5620" width="10" style="116" customWidth="1"/>
    <col min="5621" max="5621" width="5.28515625" style="116" bestFit="1" customWidth="1"/>
    <col min="5622" max="5622" width="55" style="116" customWidth="1"/>
    <col min="5623" max="5623" width="17" style="116" bestFit="1" customWidth="1"/>
    <col min="5624" max="5624" width="19.140625" style="116" customWidth="1"/>
    <col min="5625" max="5625" width="19.42578125" style="116" customWidth="1"/>
    <col min="5626" max="5630" width="15.140625" style="116" customWidth="1"/>
    <col min="5631" max="5633" width="0" style="116" hidden="1" customWidth="1"/>
    <col min="5634" max="5635" width="10.7109375" style="116" bestFit="1" customWidth="1"/>
    <col min="5636" max="5636" width="10.28515625" style="116" bestFit="1" customWidth="1"/>
    <col min="5637" max="5637" width="11.85546875" style="116" bestFit="1" customWidth="1"/>
    <col min="5638" max="5638" width="15.42578125" style="116" customWidth="1"/>
    <col min="5639" max="5874" width="9.140625" style="116"/>
    <col min="5875" max="5875" width="7" style="116" bestFit="1" customWidth="1"/>
    <col min="5876" max="5876" width="10" style="116" customWidth="1"/>
    <col min="5877" max="5877" width="5.28515625" style="116" bestFit="1" customWidth="1"/>
    <col min="5878" max="5878" width="55" style="116" customWidth="1"/>
    <col min="5879" max="5879" width="17" style="116" bestFit="1" customWidth="1"/>
    <col min="5880" max="5880" width="19.140625" style="116" customWidth="1"/>
    <col min="5881" max="5881" width="19.42578125" style="116" customWidth="1"/>
    <col min="5882" max="5886" width="15.140625" style="116" customWidth="1"/>
    <col min="5887" max="5889" width="0" style="116" hidden="1" customWidth="1"/>
    <col min="5890" max="5891" width="10.7109375" style="116" bestFit="1" customWidth="1"/>
    <col min="5892" max="5892" width="10.28515625" style="116" bestFit="1" customWidth="1"/>
    <col min="5893" max="5893" width="11.85546875" style="116" bestFit="1" customWidth="1"/>
    <col min="5894" max="5894" width="15.42578125" style="116" customWidth="1"/>
    <col min="5895" max="6130" width="9.140625" style="116"/>
    <col min="6131" max="6131" width="7" style="116" bestFit="1" customWidth="1"/>
    <col min="6132" max="6132" width="10" style="116" customWidth="1"/>
    <col min="6133" max="6133" width="5.28515625" style="116" bestFit="1" customWidth="1"/>
    <col min="6134" max="6134" width="55" style="116" customWidth="1"/>
    <col min="6135" max="6135" width="17" style="116" bestFit="1" customWidth="1"/>
    <col min="6136" max="6136" width="19.140625" style="116" customWidth="1"/>
    <col min="6137" max="6137" width="19.42578125" style="116" customWidth="1"/>
    <col min="6138" max="6142" width="15.140625" style="116" customWidth="1"/>
    <col min="6143" max="6145" width="0" style="116" hidden="1" customWidth="1"/>
    <col min="6146" max="6147" width="10.7109375" style="116" bestFit="1" customWidth="1"/>
    <col min="6148" max="6148" width="10.28515625" style="116" bestFit="1" customWidth="1"/>
    <col min="6149" max="6149" width="11.85546875" style="116" bestFit="1" customWidth="1"/>
    <col min="6150" max="6150" width="15.42578125" style="116" customWidth="1"/>
    <col min="6151" max="6386" width="9.140625" style="116"/>
    <col min="6387" max="6387" width="7" style="116" bestFit="1" customWidth="1"/>
    <col min="6388" max="6388" width="10" style="116" customWidth="1"/>
    <col min="6389" max="6389" width="5.28515625" style="116" bestFit="1" customWidth="1"/>
    <col min="6390" max="6390" width="55" style="116" customWidth="1"/>
    <col min="6391" max="6391" width="17" style="116" bestFit="1" customWidth="1"/>
    <col min="6392" max="6392" width="19.140625" style="116" customWidth="1"/>
    <col min="6393" max="6393" width="19.42578125" style="116" customWidth="1"/>
    <col min="6394" max="6398" width="15.140625" style="116" customWidth="1"/>
    <col min="6399" max="6401" width="0" style="116" hidden="1" customWidth="1"/>
    <col min="6402" max="6403" width="10.7109375" style="116" bestFit="1" customWidth="1"/>
    <col min="6404" max="6404" width="10.28515625" style="116" bestFit="1" customWidth="1"/>
    <col min="6405" max="6405" width="11.85546875" style="116" bestFit="1" customWidth="1"/>
    <col min="6406" max="6406" width="15.42578125" style="116" customWidth="1"/>
    <col min="6407" max="6642" width="9.140625" style="116"/>
    <col min="6643" max="6643" width="7" style="116" bestFit="1" customWidth="1"/>
    <col min="6644" max="6644" width="10" style="116" customWidth="1"/>
    <col min="6645" max="6645" width="5.28515625" style="116" bestFit="1" customWidth="1"/>
    <col min="6646" max="6646" width="55" style="116" customWidth="1"/>
    <col min="6647" max="6647" width="17" style="116" bestFit="1" customWidth="1"/>
    <col min="6648" max="6648" width="19.140625" style="116" customWidth="1"/>
    <col min="6649" max="6649" width="19.42578125" style="116" customWidth="1"/>
    <col min="6650" max="6654" width="15.140625" style="116" customWidth="1"/>
    <col min="6655" max="6657" width="0" style="116" hidden="1" customWidth="1"/>
    <col min="6658" max="6659" width="10.7109375" style="116" bestFit="1" customWidth="1"/>
    <col min="6660" max="6660" width="10.28515625" style="116" bestFit="1" customWidth="1"/>
    <col min="6661" max="6661" width="11.85546875" style="116" bestFit="1" customWidth="1"/>
    <col min="6662" max="6662" width="15.42578125" style="116" customWidth="1"/>
    <col min="6663" max="6898" width="9.140625" style="116"/>
    <col min="6899" max="6899" width="7" style="116" bestFit="1" customWidth="1"/>
    <col min="6900" max="6900" width="10" style="116" customWidth="1"/>
    <col min="6901" max="6901" width="5.28515625" style="116" bestFit="1" customWidth="1"/>
    <col min="6902" max="6902" width="55" style="116" customWidth="1"/>
    <col min="6903" max="6903" width="17" style="116" bestFit="1" customWidth="1"/>
    <col min="6904" max="6904" width="19.140625" style="116" customWidth="1"/>
    <col min="6905" max="6905" width="19.42578125" style="116" customWidth="1"/>
    <col min="6906" max="6910" width="15.140625" style="116" customWidth="1"/>
    <col min="6911" max="6913" width="0" style="116" hidden="1" customWidth="1"/>
    <col min="6914" max="6915" width="10.7109375" style="116" bestFit="1" customWidth="1"/>
    <col min="6916" max="6916" width="10.28515625" style="116" bestFit="1" customWidth="1"/>
    <col min="6917" max="6917" width="11.85546875" style="116" bestFit="1" customWidth="1"/>
    <col min="6918" max="6918" width="15.42578125" style="116" customWidth="1"/>
    <col min="6919" max="7154" width="9.140625" style="116"/>
    <col min="7155" max="7155" width="7" style="116" bestFit="1" customWidth="1"/>
    <col min="7156" max="7156" width="10" style="116" customWidth="1"/>
    <col min="7157" max="7157" width="5.28515625" style="116" bestFit="1" customWidth="1"/>
    <col min="7158" max="7158" width="55" style="116" customWidth="1"/>
    <col min="7159" max="7159" width="17" style="116" bestFit="1" customWidth="1"/>
    <col min="7160" max="7160" width="19.140625" style="116" customWidth="1"/>
    <col min="7161" max="7161" width="19.42578125" style="116" customWidth="1"/>
    <col min="7162" max="7166" width="15.140625" style="116" customWidth="1"/>
    <col min="7167" max="7169" width="0" style="116" hidden="1" customWidth="1"/>
    <col min="7170" max="7171" width="10.7109375" style="116" bestFit="1" customWidth="1"/>
    <col min="7172" max="7172" width="10.28515625" style="116" bestFit="1" customWidth="1"/>
    <col min="7173" max="7173" width="11.85546875" style="116" bestFit="1" customWidth="1"/>
    <col min="7174" max="7174" width="15.42578125" style="116" customWidth="1"/>
    <col min="7175" max="7410" width="9.140625" style="116"/>
    <col min="7411" max="7411" width="7" style="116" bestFit="1" customWidth="1"/>
    <col min="7412" max="7412" width="10" style="116" customWidth="1"/>
    <col min="7413" max="7413" width="5.28515625" style="116" bestFit="1" customWidth="1"/>
    <col min="7414" max="7414" width="55" style="116" customWidth="1"/>
    <col min="7415" max="7415" width="17" style="116" bestFit="1" customWidth="1"/>
    <col min="7416" max="7416" width="19.140625" style="116" customWidth="1"/>
    <col min="7417" max="7417" width="19.42578125" style="116" customWidth="1"/>
    <col min="7418" max="7422" width="15.140625" style="116" customWidth="1"/>
    <col min="7423" max="7425" width="0" style="116" hidden="1" customWidth="1"/>
    <col min="7426" max="7427" width="10.7109375" style="116" bestFit="1" customWidth="1"/>
    <col min="7428" max="7428" width="10.28515625" style="116" bestFit="1" customWidth="1"/>
    <col min="7429" max="7429" width="11.85546875" style="116" bestFit="1" customWidth="1"/>
    <col min="7430" max="7430" width="15.42578125" style="116" customWidth="1"/>
    <col min="7431" max="7666" width="9.140625" style="116"/>
    <col min="7667" max="7667" width="7" style="116" bestFit="1" customWidth="1"/>
    <col min="7668" max="7668" width="10" style="116" customWidth="1"/>
    <col min="7669" max="7669" width="5.28515625" style="116" bestFit="1" customWidth="1"/>
    <col min="7670" max="7670" width="55" style="116" customWidth="1"/>
    <col min="7671" max="7671" width="17" style="116" bestFit="1" customWidth="1"/>
    <col min="7672" max="7672" width="19.140625" style="116" customWidth="1"/>
    <col min="7673" max="7673" width="19.42578125" style="116" customWidth="1"/>
    <col min="7674" max="7678" width="15.140625" style="116" customWidth="1"/>
    <col min="7679" max="7681" width="0" style="116" hidden="1" customWidth="1"/>
    <col min="7682" max="7683" width="10.7109375" style="116" bestFit="1" customWidth="1"/>
    <col min="7684" max="7684" width="10.28515625" style="116" bestFit="1" customWidth="1"/>
    <col min="7685" max="7685" width="11.85546875" style="116" bestFit="1" customWidth="1"/>
    <col min="7686" max="7686" width="15.42578125" style="116" customWidth="1"/>
    <col min="7687" max="7922" width="9.140625" style="116"/>
    <col min="7923" max="7923" width="7" style="116" bestFit="1" customWidth="1"/>
    <col min="7924" max="7924" width="10" style="116" customWidth="1"/>
    <col min="7925" max="7925" width="5.28515625" style="116" bestFit="1" customWidth="1"/>
    <col min="7926" max="7926" width="55" style="116" customWidth="1"/>
    <col min="7927" max="7927" width="17" style="116" bestFit="1" customWidth="1"/>
    <col min="7928" max="7928" width="19.140625" style="116" customWidth="1"/>
    <col min="7929" max="7929" width="19.42578125" style="116" customWidth="1"/>
    <col min="7930" max="7934" width="15.140625" style="116" customWidth="1"/>
    <col min="7935" max="7937" width="0" style="116" hidden="1" customWidth="1"/>
    <col min="7938" max="7939" width="10.7109375" style="116" bestFit="1" customWidth="1"/>
    <col min="7940" max="7940" width="10.28515625" style="116" bestFit="1" customWidth="1"/>
    <col min="7941" max="7941" width="11.85546875" style="116" bestFit="1" customWidth="1"/>
    <col min="7942" max="7942" width="15.42578125" style="116" customWidth="1"/>
    <col min="7943" max="8178" width="9.140625" style="116"/>
    <col min="8179" max="8179" width="7" style="116" bestFit="1" customWidth="1"/>
    <col min="8180" max="8180" width="10" style="116" customWidth="1"/>
    <col min="8181" max="8181" width="5.28515625" style="116" bestFit="1" customWidth="1"/>
    <col min="8182" max="8182" width="55" style="116" customWidth="1"/>
    <col min="8183" max="8183" width="17" style="116" bestFit="1" customWidth="1"/>
    <col min="8184" max="8184" width="19.140625" style="116" customWidth="1"/>
    <col min="8185" max="8185" width="19.42578125" style="116" customWidth="1"/>
    <col min="8186" max="8190" width="15.140625" style="116" customWidth="1"/>
    <col min="8191" max="8193" width="0" style="116" hidden="1" customWidth="1"/>
    <col min="8194" max="8195" width="10.7109375" style="116" bestFit="1" customWidth="1"/>
    <col min="8196" max="8196" width="10.28515625" style="116" bestFit="1" customWidth="1"/>
    <col min="8197" max="8197" width="11.85546875" style="116" bestFit="1" customWidth="1"/>
    <col min="8198" max="8198" width="15.42578125" style="116" customWidth="1"/>
    <col min="8199" max="8434" width="9.140625" style="116"/>
    <col min="8435" max="8435" width="7" style="116" bestFit="1" customWidth="1"/>
    <col min="8436" max="8436" width="10" style="116" customWidth="1"/>
    <col min="8437" max="8437" width="5.28515625" style="116" bestFit="1" customWidth="1"/>
    <col min="8438" max="8438" width="55" style="116" customWidth="1"/>
    <col min="8439" max="8439" width="17" style="116" bestFit="1" customWidth="1"/>
    <col min="8440" max="8440" width="19.140625" style="116" customWidth="1"/>
    <col min="8441" max="8441" width="19.42578125" style="116" customWidth="1"/>
    <col min="8442" max="8446" width="15.140625" style="116" customWidth="1"/>
    <col min="8447" max="8449" width="0" style="116" hidden="1" customWidth="1"/>
    <col min="8450" max="8451" width="10.7109375" style="116" bestFit="1" customWidth="1"/>
    <col min="8452" max="8452" width="10.28515625" style="116" bestFit="1" customWidth="1"/>
    <col min="8453" max="8453" width="11.85546875" style="116" bestFit="1" customWidth="1"/>
    <col min="8454" max="8454" width="15.42578125" style="116" customWidth="1"/>
    <col min="8455" max="8690" width="9.140625" style="116"/>
    <col min="8691" max="8691" width="7" style="116" bestFit="1" customWidth="1"/>
    <col min="8692" max="8692" width="10" style="116" customWidth="1"/>
    <col min="8693" max="8693" width="5.28515625" style="116" bestFit="1" customWidth="1"/>
    <col min="8694" max="8694" width="55" style="116" customWidth="1"/>
    <col min="8695" max="8695" width="17" style="116" bestFit="1" customWidth="1"/>
    <col min="8696" max="8696" width="19.140625" style="116" customWidth="1"/>
    <col min="8697" max="8697" width="19.42578125" style="116" customWidth="1"/>
    <col min="8698" max="8702" width="15.140625" style="116" customWidth="1"/>
    <col min="8703" max="8705" width="0" style="116" hidden="1" customWidth="1"/>
    <col min="8706" max="8707" width="10.7109375" style="116" bestFit="1" customWidth="1"/>
    <col min="8708" max="8708" width="10.28515625" style="116" bestFit="1" customWidth="1"/>
    <col min="8709" max="8709" width="11.85546875" style="116" bestFit="1" customWidth="1"/>
    <col min="8710" max="8710" width="15.42578125" style="116" customWidth="1"/>
    <col min="8711" max="8946" width="9.140625" style="116"/>
    <col min="8947" max="8947" width="7" style="116" bestFit="1" customWidth="1"/>
    <col min="8948" max="8948" width="10" style="116" customWidth="1"/>
    <col min="8949" max="8949" width="5.28515625" style="116" bestFit="1" customWidth="1"/>
    <col min="8950" max="8950" width="55" style="116" customWidth="1"/>
    <col min="8951" max="8951" width="17" style="116" bestFit="1" customWidth="1"/>
    <col min="8952" max="8952" width="19.140625" style="116" customWidth="1"/>
    <col min="8953" max="8953" width="19.42578125" style="116" customWidth="1"/>
    <col min="8954" max="8958" width="15.140625" style="116" customWidth="1"/>
    <col min="8959" max="8961" width="0" style="116" hidden="1" customWidth="1"/>
    <col min="8962" max="8963" width="10.7109375" style="116" bestFit="1" customWidth="1"/>
    <col min="8964" max="8964" width="10.28515625" style="116" bestFit="1" customWidth="1"/>
    <col min="8965" max="8965" width="11.85546875" style="116" bestFit="1" customWidth="1"/>
    <col min="8966" max="8966" width="15.42578125" style="116" customWidth="1"/>
    <col min="8967" max="9202" width="9.140625" style="116"/>
    <col min="9203" max="9203" width="7" style="116" bestFit="1" customWidth="1"/>
    <col min="9204" max="9204" width="10" style="116" customWidth="1"/>
    <col min="9205" max="9205" width="5.28515625" style="116" bestFit="1" customWidth="1"/>
    <col min="9206" max="9206" width="55" style="116" customWidth="1"/>
    <col min="9207" max="9207" width="17" style="116" bestFit="1" customWidth="1"/>
    <col min="9208" max="9208" width="19.140625" style="116" customWidth="1"/>
    <col min="9209" max="9209" width="19.42578125" style="116" customWidth="1"/>
    <col min="9210" max="9214" width="15.140625" style="116" customWidth="1"/>
    <col min="9215" max="9217" width="0" style="116" hidden="1" customWidth="1"/>
    <col min="9218" max="9219" width="10.7109375" style="116" bestFit="1" customWidth="1"/>
    <col min="9220" max="9220" width="10.28515625" style="116" bestFit="1" customWidth="1"/>
    <col min="9221" max="9221" width="11.85546875" style="116" bestFit="1" customWidth="1"/>
    <col min="9222" max="9222" width="15.42578125" style="116" customWidth="1"/>
    <col min="9223" max="9458" width="9.140625" style="116"/>
    <col min="9459" max="9459" width="7" style="116" bestFit="1" customWidth="1"/>
    <col min="9460" max="9460" width="10" style="116" customWidth="1"/>
    <col min="9461" max="9461" width="5.28515625" style="116" bestFit="1" customWidth="1"/>
    <col min="9462" max="9462" width="55" style="116" customWidth="1"/>
    <col min="9463" max="9463" width="17" style="116" bestFit="1" customWidth="1"/>
    <col min="9464" max="9464" width="19.140625" style="116" customWidth="1"/>
    <col min="9465" max="9465" width="19.42578125" style="116" customWidth="1"/>
    <col min="9466" max="9470" width="15.140625" style="116" customWidth="1"/>
    <col min="9471" max="9473" width="0" style="116" hidden="1" customWidth="1"/>
    <col min="9474" max="9475" width="10.7109375" style="116" bestFit="1" customWidth="1"/>
    <col min="9476" max="9476" width="10.28515625" style="116" bestFit="1" customWidth="1"/>
    <col min="9477" max="9477" width="11.85546875" style="116" bestFit="1" customWidth="1"/>
    <col min="9478" max="9478" width="15.42578125" style="116" customWidth="1"/>
    <col min="9479" max="9714" width="9.140625" style="116"/>
    <col min="9715" max="9715" width="7" style="116" bestFit="1" customWidth="1"/>
    <col min="9716" max="9716" width="10" style="116" customWidth="1"/>
    <col min="9717" max="9717" width="5.28515625" style="116" bestFit="1" customWidth="1"/>
    <col min="9718" max="9718" width="55" style="116" customWidth="1"/>
    <col min="9719" max="9719" width="17" style="116" bestFit="1" customWidth="1"/>
    <col min="9720" max="9720" width="19.140625" style="116" customWidth="1"/>
    <col min="9721" max="9721" width="19.42578125" style="116" customWidth="1"/>
    <col min="9722" max="9726" width="15.140625" style="116" customWidth="1"/>
    <col min="9727" max="9729" width="0" style="116" hidden="1" customWidth="1"/>
    <col min="9730" max="9731" width="10.7109375" style="116" bestFit="1" customWidth="1"/>
    <col min="9732" max="9732" width="10.28515625" style="116" bestFit="1" customWidth="1"/>
    <col min="9733" max="9733" width="11.85546875" style="116" bestFit="1" customWidth="1"/>
    <col min="9734" max="9734" width="15.42578125" style="116" customWidth="1"/>
    <col min="9735" max="9970" width="9.140625" style="116"/>
    <col min="9971" max="9971" width="7" style="116" bestFit="1" customWidth="1"/>
    <col min="9972" max="9972" width="10" style="116" customWidth="1"/>
    <col min="9973" max="9973" width="5.28515625" style="116" bestFit="1" customWidth="1"/>
    <col min="9974" max="9974" width="55" style="116" customWidth="1"/>
    <col min="9975" max="9975" width="17" style="116" bestFit="1" customWidth="1"/>
    <col min="9976" max="9976" width="19.140625" style="116" customWidth="1"/>
    <col min="9977" max="9977" width="19.42578125" style="116" customWidth="1"/>
    <col min="9978" max="9982" width="15.140625" style="116" customWidth="1"/>
    <col min="9983" max="9985" width="0" style="116" hidden="1" customWidth="1"/>
    <col min="9986" max="9987" width="10.7109375" style="116" bestFit="1" customWidth="1"/>
    <col min="9988" max="9988" width="10.28515625" style="116" bestFit="1" customWidth="1"/>
    <col min="9989" max="9989" width="11.85546875" style="116" bestFit="1" customWidth="1"/>
    <col min="9990" max="9990" width="15.42578125" style="116" customWidth="1"/>
    <col min="9991" max="10226" width="9.140625" style="116"/>
    <col min="10227" max="10227" width="7" style="116" bestFit="1" customWidth="1"/>
    <col min="10228" max="10228" width="10" style="116" customWidth="1"/>
    <col min="10229" max="10229" width="5.28515625" style="116" bestFit="1" customWidth="1"/>
    <col min="10230" max="10230" width="55" style="116" customWidth="1"/>
    <col min="10231" max="10231" width="17" style="116" bestFit="1" customWidth="1"/>
    <col min="10232" max="10232" width="19.140625" style="116" customWidth="1"/>
    <col min="10233" max="10233" width="19.42578125" style="116" customWidth="1"/>
    <col min="10234" max="10238" width="15.140625" style="116" customWidth="1"/>
    <col min="10239" max="10241" width="0" style="116" hidden="1" customWidth="1"/>
    <col min="10242" max="10243" width="10.7109375" style="116" bestFit="1" customWidth="1"/>
    <col min="10244" max="10244" width="10.28515625" style="116" bestFit="1" customWidth="1"/>
    <col min="10245" max="10245" width="11.85546875" style="116" bestFit="1" customWidth="1"/>
    <col min="10246" max="10246" width="15.42578125" style="116" customWidth="1"/>
    <col min="10247" max="10482" width="9.140625" style="116"/>
    <col min="10483" max="10483" width="7" style="116" bestFit="1" customWidth="1"/>
    <col min="10484" max="10484" width="10" style="116" customWidth="1"/>
    <col min="10485" max="10485" width="5.28515625" style="116" bestFit="1" customWidth="1"/>
    <col min="10486" max="10486" width="55" style="116" customWidth="1"/>
    <col min="10487" max="10487" width="17" style="116" bestFit="1" customWidth="1"/>
    <col min="10488" max="10488" width="19.140625" style="116" customWidth="1"/>
    <col min="10489" max="10489" width="19.42578125" style="116" customWidth="1"/>
    <col min="10490" max="10494" width="15.140625" style="116" customWidth="1"/>
    <col min="10495" max="10497" width="0" style="116" hidden="1" customWidth="1"/>
    <col min="10498" max="10499" width="10.7109375" style="116" bestFit="1" customWidth="1"/>
    <col min="10500" max="10500" width="10.28515625" style="116" bestFit="1" customWidth="1"/>
    <col min="10501" max="10501" width="11.85546875" style="116" bestFit="1" customWidth="1"/>
    <col min="10502" max="10502" width="15.42578125" style="116" customWidth="1"/>
    <col min="10503" max="10738" width="9.140625" style="116"/>
    <col min="10739" max="10739" width="7" style="116" bestFit="1" customWidth="1"/>
    <col min="10740" max="10740" width="10" style="116" customWidth="1"/>
    <col min="10741" max="10741" width="5.28515625" style="116" bestFit="1" customWidth="1"/>
    <col min="10742" max="10742" width="55" style="116" customWidth="1"/>
    <col min="10743" max="10743" width="17" style="116" bestFit="1" customWidth="1"/>
    <col min="10744" max="10744" width="19.140625" style="116" customWidth="1"/>
    <col min="10745" max="10745" width="19.42578125" style="116" customWidth="1"/>
    <col min="10746" max="10750" width="15.140625" style="116" customWidth="1"/>
    <col min="10751" max="10753" width="0" style="116" hidden="1" customWidth="1"/>
    <col min="10754" max="10755" width="10.7109375" style="116" bestFit="1" customWidth="1"/>
    <col min="10756" max="10756" width="10.28515625" style="116" bestFit="1" customWidth="1"/>
    <col min="10757" max="10757" width="11.85546875" style="116" bestFit="1" customWidth="1"/>
    <col min="10758" max="10758" width="15.42578125" style="116" customWidth="1"/>
    <col min="10759" max="10994" width="9.140625" style="116"/>
    <col min="10995" max="10995" width="7" style="116" bestFit="1" customWidth="1"/>
    <col min="10996" max="10996" width="10" style="116" customWidth="1"/>
    <col min="10997" max="10997" width="5.28515625" style="116" bestFit="1" customWidth="1"/>
    <col min="10998" max="10998" width="55" style="116" customWidth="1"/>
    <col min="10999" max="10999" width="17" style="116" bestFit="1" customWidth="1"/>
    <col min="11000" max="11000" width="19.140625" style="116" customWidth="1"/>
    <col min="11001" max="11001" width="19.42578125" style="116" customWidth="1"/>
    <col min="11002" max="11006" width="15.140625" style="116" customWidth="1"/>
    <col min="11007" max="11009" width="0" style="116" hidden="1" customWidth="1"/>
    <col min="11010" max="11011" width="10.7109375" style="116" bestFit="1" customWidth="1"/>
    <col min="11012" max="11012" width="10.28515625" style="116" bestFit="1" customWidth="1"/>
    <col min="11013" max="11013" width="11.85546875" style="116" bestFit="1" customWidth="1"/>
    <col min="11014" max="11014" width="15.42578125" style="116" customWidth="1"/>
    <col min="11015" max="11250" width="9.140625" style="116"/>
    <col min="11251" max="11251" width="7" style="116" bestFit="1" customWidth="1"/>
    <col min="11252" max="11252" width="10" style="116" customWidth="1"/>
    <col min="11253" max="11253" width="5.28515625" style="116" bestFit="1" customWidth="1"/>
    <col min="11254" max="11254" width="55" style="116" customWidth="1"/>
    <col min="11255" max="11255" width="17" style="116" bestFit="1" customWidth="1"/>
    <col min="11256" max="11256" width="19.140625" style="116" customWidth="1"/>
    <col min="11257" max="11257" width="19.42578125" style="116" customWidth="1"/>
    <col min="11258" max="11262" width="15.140625" style="116" customWidth="1"/>
    <col min="11263" max="11265" width="0" style="116" hidden="1" customWidth="1"/>
    <col min="11266" max="11267" width="10.7109375" style="116" bestFit="1" customWidth="1"/>
    <col min="11268" max="11268" width="10.28515625" style="116" bestFit="1" customWidth="1"/>
    <col min="11269" max="11269" width="11.85546875" style="116" bestFit="1" customWidth="1"/>
    <col min="11270" max="11270" width="15.42578125" style="116" customWidth="1"/>
    <col min="11271" max="11506" width="9.140625" style="116"/>
    <col min="11507" max="11507" width="7" style="116" bestFit="1" customWidth="1"/>
    <col min="11508" max="11508" width="10" style="116" customWidth="1"/>
    <col min="11509" max="11509" width="5.28515625" style="116" bestFit="1" customWidth="1"/>
    <col min="11510" max="11510" width="55" style="116" customWidth="1"/>
    <col min="11511" max="11511" width="17" style="116" bestFit="1" customWidth="1"/>
    <col min="11512" max="11512" width="19.140625" style="116" customWidth="1"/>
    <col min="11513" max="11513" width="19.42578125" style="116" customWidth="1"/>
    <col min="11514" max="11518" width="15.140625" style="116" customWidth="1"/>
    <col min="11519" max="11521" width="0" style="116" hidden="1" customWidth="1"/>
    <col min="11522" max="11523" width="10.7109375" style="116" bestFit="1" customWidth="1"/>
    <col min="11524" max="11524" width="10.28515625" style="116" bestFit="1" customWidth="1"/>
    <col min="11525" max="11525" width="11.85546875" style="116" bestFit="1" customWidth="1"/>
    <col min="11526" max="11526" width="15.42578125" style="116" customWidth="1"/>
    <col min="11527" max="11762" width="9.140625" style="116"/>
    <col min="11763" max="11763" width="7" style="116" bestFit="1" customWidth="1"/>
    <col min="11764" max="11764" width="10" style="116" customWidth="1"/>
    <col min="11765" max="11765" width="5.28515625" style="116" bestFit="1" customWidth="1"/>
    <col min="11766" max="11766" width="55" style="116" customWidth="1"/>
    <col min="11767" max="11767" width="17" style="116" bestFit="1" customWidth="1"/>
    <col min="11768" max="11768" width="19.140625" style="116" customWidth="1"/>
    <col min="11769" max="11769" width="19.42578125" style="116" customWidth="1"/>
    <col min="11770" max="11774" width="15.140625" style="116" customWidth="1"/>
    <col min="11775" max="11777" width="0" style="116" hidden="1" customWidth="1"/>
    <col min="11778" max="11779" width="10.7109375" style="116" bestFit="1" customWidth="1"/>
    <col min="11780" max="11780" width="10.28515625" style="116" bestFit="1" customWidth="1"/>
    <col min="11781" max="11781" width="11.85546875" style="116" bestFit="1" customWidth="1"/>
    <col min="11782" max="11782" width="15.42578125" style="116" customWidth="1"/>
    <col min="11783" max="12018" width="9.140625" style="116"/>
    <col min="12019" max="12019" width="7" style="116" bestFit="1" customWidth="1"/>
    <col min="12020" max="12020" width="10" style="116" customWidth="1"/>
    <col min="12021" max="12021" width="5.28515625" style="116" bestFit="1" customWidth="1"/>
    <col min="12022" max="12022" width="55" style="116" customWidth="1"/>
    <col min="12023" max="12023" width="17" style="116" bestFit="1" customWidth="1"/>
    <col min="12024" max="12024" width="19.140625" style="116" customWidth="1"/>
    <col min="12025" max="12025" width="19.42578125" style="116" customWidth="1"/>
    <col min="12026" max="12030" width="15.140625" style="116" customWidth="1"/>
    <col min="12031" max="12033" width="0" style="116" hidden="1" customWidth="1"/>
    <col min="12034" max="12035" width="10.7109375" style="116" bestFit="1" customWidth="1"/>
    <col min="12036" max="12036" width="10.28515625" style="116" bestFit="1" customWidth="1"/>
    <col min="12037" max="12037" width="11.85546875" style="116" bestFit="1" customWidth="1"/>
    <col min="12038" max="12038" width="15.42578125" style="116" customWidth="1"/>
    <col min="12039" max="12274" width="9.140625" style="116"/>
    <col min="12275" max="12275" width="7" style="116" bestFit="1" customWidth="1"/>
    <col min="12276" max="12276" width="10" style="116" customWidth="1"/>
    <col min="12277" max="12277" width="5.28515625" style="116" bestFit="1" customWidth="1"/>
    <col min="12278" max="12278" width="55" style="116" customWidth="1"/>
    <col min="12279" max="12279" width="17" style="116" bestFit="1" customWidth="1"/>
    <col min="12280" max="12280" width="19.140625" style="116" customWidth="1"/>
    <col min="12281" max="12281" width="19.42578125" style="116" customWidth="1"/>
    <col min="12282" max="12286" width="15.140625" style="116" customWidth="1"/>
    <col min="12287" max="12289" width="0" style="116" hidden="1" customWidth="1"/>
    <col min="12290" max="12291" width="10.7109375" style="116" bestFit="1" customWidth="1"/>
    <col min="12292" max="12292" width="10.28515625" style="116" bestFit="1" customWidth="1"/>
    <col min="12293" max="12293" width="11.85546875" style="116" bestFit="1" customWidth="1"/>
    <col min="12294" max="12294" width="15.42578125" style="116" customWidth="1"/>
    <col min="12295" max="12530" width="9.140625" style="116"/>
    <col min="12531" max="12531" width="7" style="116" bestFit="1" customWidth="1"/>
    <col min="12532" max="12532" width="10" style="116" customWidth="1"/>
    <col min="12533" max="12533" width="5.28515625" style="116" bestFit="1" customWidth="1"/>
    <col min="12534" max="12534" width="55" style="116" customWidth="1"/>
    <col min="12535" max="12535" width="17" style="116" bestFit="1" customWidth="1"/>
    <col min="12536" max="12536" width="19.140625" style="116" customWidth="1"/>
    <col min="12537" max="12537" width="19.42578125" style="116" customWidth="1"/>
    <col min="12538" max="12542" width="15.140625" style="116" customWidth="1"/>
    <col min="12543" max="12545" width="0" style="116" hidden="1" customWidth="1"/>
    <col min="12546" max="12547" width="10.7109375" style="116" bestFit="1" customWidth="1"/>
    <col min="12548" max="12548" width="10.28515625" style="116" bestFit="1" customWidth="1"/>
    <col min="12549" max="12549" width="11.85546875" style="116" bestFit="1" customWidth="1"/>
    <col min="12550" max="12550" width="15.42578125" style="116" customWidth="1"/>
    <col min="12551" max="12786" width="9.140625" style="116"/>
    <col min="12787" max="12787" width="7" style="116" bestFit="1" customWidth="1"/>
    <col min="12788" max="12788" width="10" style="116" customWidth="1"/>
    <col min="12789" max="12789" width="5.28515625" style="116" bestFit="1" customWidth="1"/>
    <col min="12790" max="12790" width="55" style="116" customWidth="1"/>
    <col min="12791" max="12791" width="17" style="116" bestFit="1" customWidth="1"/>
    <col min="12792" max="12792" width="19.140625" style="116" customWidth="1"/>
    <col min="12793" max="12793" width="19.42578125" style="116" customWidth="1"/>
    <col min="12794" max="12798" width="15.140625" style="116" customWidth="1"/>
    <col min="12799" max="12801" width="0" style="116" hidden="1" customWidth="1"/>
    <col min="12802" max="12803" width="10.7109375" style="116" bestFit="1" customWidth="1"/>
    <col min="12804" max="12804" width="10.28515625" style="116" bestFit="1" customWidth="1"/>
    <col min="12805" max="12805" width="11.85546875" style="116" bestFit="1" customWidth="1"/>
    <col min="12806" max="12806" width="15.42578125" style="116" customWidth="1"/>
    <col min="12807" max="13042" width="9.140625" style="116"/>
    <col min="13043" max="13043" width="7" style="116" bestFit="1" customWidth="1"/>
    <col min="13044" max="13044" width="10" style="116" customWidth="1"/>
    <col min="13045" max="13045" width="5.28515625" style="116" bestFit="1" customWidth="1"/>
    <col min="13046" max="13046" width="55" style="116" customWidth="1"/>
    <col min="13047" max="13047" width="17" style="116" bestFit="1" customWidth="1"/>
    <col min="13048" max="13048" width="19.140625" style="116" customWidth="1"/>
    <col min="13049" max="13049" width="19.42578125" style="116" customWidth="1"/>
    <col min="13050" max="13054" width="15.140625" style="116" customWidth="1"/>
    <col min="13055" max="13057" width="0" style="116" hidden="1" customWidth="1"/>
    <col min="13058" max="13059" width="10.7109375" style="116" bestFit="1" customWidth="1"/>
    <col min="13060" max="13060" width="10.28515625" style="116" bestFit="1" customWidth="1"/>
    <col min="13061" max="13061" width="11.85546875" style="116" bestFit="1" customWidth="1"/>
    <col min="13062" max="13062" width="15.42578125" style="116" customWidth="1"/>
    <col min="13063" max="13298" width="9.140625" style="116"/>
    <col min="13299" max="13299" width="7" style="116" bestFit="1" customWidth="1"/>
    <col min="13300" max="13300" width="10" style="116" customWidth="1"/>
    <col min="13301" max="13301" width="5.28515625" style="116" bestFit="1" customWidth="1"/>
    <col min="13302" max="13302" width="55" style="116" customWidth="1"/>
    <col min="13303" max="13303" width="17" style="116" bestFit="1" customWidth="1"/>
    <col min="13304" max="13304" width="19.140625" style="116" customWidth="1"/>
    <col min="13305" max="13305" width="19.42578125" style="116" customWidth="1"/>
    <col min="13306" max="13310" width="15.140625" style="116" customWidth="1"/>
    <col min="13311" max="13313" width="0" style="116" hidden="1" customWidth="1"/>
    <col min="13314" max="13315" width="10.7109375" style="116" bestFit="1" customWidth="1"/>
    <col min="13316" max="13316" width="10.28515625" style="116" bestFit="1" customWidth="1"/>
    <col min="13317" max="13317" width="11.85546875" style="116" bestFit="1" customWidth="1"/>
    <col min="13318" max="13318" width="15.42578125" style="116" customWidth="1"/>
    <col min="13319" max="13554" width="9.140625" style="116"/>
    <col min="13555" max="13555" width="7" style="116" bestFit="1" customWidth="1"/>
    <col min="13556" max="13556" width="10" style="116" customWidth="1"/>
    <col min="13557" max="13557" width="5.28515625" style="116" bestFit="1" customWidth="1"/>
    <col min="13558" max="13558" width="55" style="116" customWidth="1"/>
    <col min="13559" max="13559" width="17" style="116" bestFit="1" customWidth="1"/>
    <col min="13560" max="13560" width="19.140625" style="116" customWidth="1"/>
    <col min="13561" max="13561" width="19.42578125" style="116" customWidth="1"/>
    <col min="13562" max="13566" width="15.140625" style="116" customWidth="1"/>
    <col min="13567" max="13569" width="0" style="116" hidden="1" customWidth="1"/>
    <col min="13570" max="13571" width="10.7109375" style="116" bestFit="1" customWidth="1"/>
    <col min="13572" max="13572" width="10.28515625" style="116" bestFit="1" customWidth="1"/>
    <col min="13573" max="13573" width="11.85546875" style="116" bestFit="1" customWidth="1"/>
    <col min="13574" max="13574" width="15.42578125" style="116" customWidth="1"/>
    <col min="13575" max="13810" width="9.140625" style="116"/>
    <col min="13811" max="13811" width="7" style="116" bestFit="1" customWidth="1"/>
    <col min="13812" max="13812" width="10" style="116" customWidth="1"/>
    <col min="13813" max="13813" width="5.28515625" style="116" bestFit="1" customWidth="1"/>
    <col min="13814" max="13814" width="55" style="116" customWidth="1"/>
    <col min="13815" max="13815" width="17" style="116" bestFit="1" customWidth="1"/>
    <col min="13816" max="13816" width="19.140625" style="116" customWidth="1"/>
    <col min="13817" max="13817" width="19.42578125" style="116" customWidth="1"/>
    <col min="13818" max="13822" width="15.140625" style="116" customWidth="1"/>
    <col min="13823" max="13825" width="0" style="116" hidden="1" customWidth="1"/>
    <col min="13826" max="13827" width="10.7109375" style="116" bestFit="1" customWidth="1"/>
    <col min="13828" max="13828" width="10.28515625" style="116" bestFit="1" customWidth="1"/>
    <col min="13829" max="13829" width="11.85546875" style="116" bestFit="1" customWidth="1"/>
    <col min="13830" max="13830" width="15.42578125" style="116" customWidth="1"/>
    <col min="13831" max="14066" width="9.140625" style="116"/>
    <col min="14067" max="14067" width="7" style="116" bestFit="1" customWidth="1"/>
    <col min="14068" max="14068" width="10" style="116" customWidth="1"/>
    <col min="14069" max="14069" width="5.28515625" style="116" bestFit="1" customWidth="1"/>
    <col min="14070" max="14070" width="55" style="116" customWidth="1"/>
    <col min="14071" max="14071" width="17" style="116" bestFit="1" customWidth="1"/>
    <col min="14072" max="14072" width="19.140625" style="116" customWidth="1"/>
    <col min="14073" max="14073" width="19.42578125" style="116" customWidth="1"/>
    <col min="14074" max="14078" width="15.140625" style="116" customWidth="1"/>
    <col min="14079" max="14081" width="0" style="116" hidden="1" customWidth="1"/>
    <col min="14082" max="14083" width="10.7109375" style="116" bestFit="1" customWidth="1"/>
    <col min="14084" max="14084" width="10.28515625" style="116" bestFit="1" customWidth="1"/>
    <col min="14085" max="14085" width="11.85546875" style="116" bestFit="1" customWidth="1"/>
    <col min="14086" max="14086" width="15.42578125" style="116" customWidth="1"/>
    <col min="14087" max="14322" width="9.140625" style="116"/>
    <col min="14323" max="14323" width="7" style="116" bestFit="1" customWidth="1"/>
    <col min="14324" max="14324" width="10" style="116" customWidth="1"/>
    <col min="14325" max="14325" width="5.28515625" style="116" bestFit="1" customWidth="1"/>
    <col min="14326" max="14326" width="55" style="116" customWidth="1"/>
    <col min="14327" max="14327" width="17" style="116" bestFit="1" customWidth="1"/>
    <col min="14328" max="14328" width="19.140625" style="116" customWidth="1"/>
    <col min="14329" max="14329" width="19.42578125" style="116" customWidth="1"/>
    <col min="14330" max="14334" width="15.140625" style="116" customWidth="1"/>
    <col min="14335" max="14337" width="0" style="116" hidden="1" customWidth="1"/>
    <col min="14338" max="14339" width="10.7109375" style="116" bestFit="1" customWidth="1"/>
    <col min="14340" max="14340" width="10.28515625" style="116" bestFit="1" customWidth="1"/>
    <col min="14341" max="14341" width="11.85546875" style="116" bestFit="1" customWidth="1"/>
    <col min="14342" max="14342" width="15.42578125" style="116" customWidth="1"/>
    <col min="14343" max="14578" width="9.140625" style="116"/>
    <col min="14579" max="14579" width="7" style="116" bestFit="1" customWidth="1"/>
    <col min="14580" max="14580" width="10" style="116" customWidth="1"/>
    <col min="14581" max="14581" width="5.28515625" style="116" bestFit="1" customWidth="1"/>
    <col min="14582" max="14582" width="55" style="116" customWidth="1"/>
    <col min="14583" max="14583" width="17" style="116" bestFit="1" customWidth="1"/>
    <col min="14584" max="14584" width="19.140625" style="116" customWidth="1"/>
    <col min="14585" max="14585" width="19.42578125" style="116" customWidth="1"/>
    <col min="14586" max="14590" width="15.140625" style="116" customWidth="1"/>
    <col min="14591" max="14593" width="0" style="116" hidden="1" customWidth="1"/>
    <col min="14594" max="14595" width="10.7109375" style="116" bestFit="1" customWidth="1"/>
    <col min="14596" max="14596" width="10.28515625" style="116" bestFit="1" customWidth="1"/>
    <col min="14597" max="14597" width="11.85546875" style="116" bestFit="1" customWidth="1"/>
    <col min="14598" max="14598" width="15.42578125" style="116" customWidth="1"/>
    <col min="14599" max="14834" width="9.140625" style="116"/>
    <col min="14835" max="14835" width="7" style="116" bestFit="1" customWidth="1"/>
    <col min="14836" max="14836" width="10" style="116" customWidth="1"/>
    <col min="14837" max="14837" width="5.28515625" style="116" bestFit="1" customWidth="1"/>
    <col min="14838" max="14838" width="55" style="116" customWidth="1"/>
    <col min="14839" max="14839" width="17" style="116" bestFit="1" customWidth="1"/>
    <col min="14840" max="14840" width="19.140625" style="116" customWidth="1"/>
    <col min="14841" max="14841" width="19.42578125" style="116" customWidth="1"/>
    <col min="14842" max="14846" width="15.140625" style="116" customWidth="1"/>
    <col min="14847" max="14849" width="0" style="116" hidden="1" customWidth="1"/>
    <col min="14850" max="14851" width="10.7109375" style="116" bestFit="1" customWidth="1"/>
    <col min="14852" max="14852" width="10.28515625" style="116" bestFit="1" customWidth="1"/>
    <col min="14853" max="14853" width="11.85546875" style="116" bestFit="1" customWidth="1"/>
    <col min="14854" max="14854" width="15.42578125" style="116" customWidth="1"/>
    <col min="14855" max="15090" width="9.140625" style="116"/>
    <col min="15091" max="15091" width="7" style="116" bestFit="1" customWidth="1"/>
    <col min="15092" max="15092" width="10" style="116" customWidth="1"/>
    <col min="15093" max="15093" width="5.28515625" style="116" bestFit="1" customWidth="1"/>
    <col min="15094" max="15094" width="55" style="116" customWidth="1"/>
    <col min="15095" max="15095" width="17" style="116" bestFit="1" customWidth="1"/>
    <col min="15096" max="15096" width="19.140625" style="116" customWidth="1"/>
    <col min="15097" max="15097" width="19.42578125" style="116" customWidth="1"/>
    <col min="15098" max="15102" width="15.140625" style="116" customWidth="1"/>
    <col min="15103" max="15105" width="0" style="116" hidden="1" customWidth="1"/>
    <col min="15106" max="15107" width="10.7109375" style="116" bestFit="1" customWidth="1"/>
    <col min="15108" max="15108" width="10.28515625" style="116" bestFit="1" customWidth="1"/>
    <col min="15109" max="15109" width="11.85546875" style="116" bestFit="1" customWidth="1"/>
    <col min="15110" max="15110" width="15.42578125" style="116" customWidth="1"/>
    <col min="15111" max="15346" width="9.140625" style="116"/>
    <col min="15347" max="15347" width="7" style="116" bestFit="1" customWidth="1"/>
    <col min="15348" max="15348" width="10" style="116" customWidth="1"/>
    <col min="15349" max="15349" width="5.28515625" style="116" bestFit="1" customWidth="1"/>
    <col min="15350" max="15350" width="55" style="116" customWidth="1"/>
    <col min="15351" max="15351" width="17" style="116" bestFit="1" customWidth="1"/>
    <col min="15352" max="15352" width="19.140625" style="116" customWidth="1"/>
    <col min="15353" max="15353" width="19.42578125" style="116" customWidth="1"/>
    <col min="15354" max="15358" width="15.140625" style="116" customWidth="1"/>
    <col min="15359" max="15361" width="0" style="116" hidden="1" customWidth="1"/>
    <col min="15362" max="15363" width="10.7109375" style="116" bestFit="1" customWidth="1"/>
    <col min="15364" max="15364" width="10.28515625" style="116" bestFit="1" customWidth="1"/>
    <col min="15365" max="15365" width="11.85546875" style="116" bestFit="1" customWidth="1"/>
    <col min="15366" max="15366" width="15.42578125" style="116" customWidth="1"/>
    <col min="15367" max="15602" width="9.140625" style="116"/>
    <col min="15603" max="15603" width="7" style="116" bestFit="1" customWidth="1"/>
    <col min="15604" max="15604" width="10" style="116" customWidth="1"/>
    <col min="15605" max="15605" width="5.28515625" style="116" bestFit="1" customWidth="1"/>
    <col min="15606" max="15606" width="55" style="116" customWidth="1"/>
    <col min="15607" max="15607" width="17" style="116" bestFit="1" customWidth="1"/>
    <col min="15608" max="15608" width="19.140625" style="116" customWidth="1"/>
    <col min="15609" max="15609" width="19.42578125" style="116" customWidth="1"/>
    <col min="15610" max="15614" width="15.140625" style="116" customWidth="1"/>
    <col min="15615" max="15617" width="0" style="116" hidden="1" customWidth="1"/>
    <col min="15618" max="15619" width="10.7109375" style="116" bestFit="1" customWidth="1"/>
    <col min="15620" max="15620" width="10.28515625" style="116" bestFit="1" customWidth="1"/>
    <col min="15621" max="15621" width="11.85546875" style="116" bestFit="1" customWidth="1"/>
    <col min="15622" max="15622" width="15.42578125" style="116" customWidth="1"/>
    <col min="15623" max="15858" width="9.140625" style="116"/>
    <col min="15859" max="15859" width="7" style="116" bestFit="1" customWidth="1"/>
    <col min="15860" max="15860" width="10" style="116" customWidth="1"/>
    <col min="15861" max="15861" width="5.28515625" style="116" bestFit="1" customWidth="1"/>
    <col min="15862" max="15862" width="55" style="116" customWidth="1"/>
    <col min="15863" max="15863" width="17" style="116" bestFit="1" customWidth="1"/>
    <col min="15864" max="15864" width="19.140625" style="116" customWidth="1"/>
    <col min="15865" max="15865" width="19.42578125" style="116" customWidth="1"/>
    <col min="15866" max="15870" width="15.140625" style="116" customWidth="1"/>
    <col min="15871" max="15873" width="0" style="116" hidden="1" customWidth="1"/>
    <col min="15874" max="15875" width="10.7109375" style="116" bestFit="1" customWidth="1"/>
    <col min="15876" max="15876" width="10.28515625" style="116" bestFit="1" customWidth="1"/>
    <col min="15877" max="15877" width="11.85546875" style="116" bestFit="1" customWidth="1"/>
    <col min="15878" max="15878" width="15.42578125" style="116" customWidth="1"/>
    <col min="15879" max="16114" width="9.140625" style="116"/>
    <col min="16115" max="16115" width="7" style="116" bestFit="1" customWidth="1"/>
    <col min="16116" max="16116" width="10" style="116" customWidth="1"/>
    <col min="16117" max="16117" width="5.28515625" style="116" bestFit="1" customWidth="1"/>
    <col min="16118" max="16118" width="55" style="116" customWidth="1"/>
    <col min="16119" max="16119" width="17" style="116" bestFit="1" customWidth="1"/>
    <col min="16120" max="16120" width="19.140625" style="116" customWidth="1"/>
    <col min="16121" max="16121" width="19.42578125" style="116" customWidth="1"/>
    <col min="16122" max="16126" width="15.140625" style="116" customWidth="1"/>
    <col min="16127" max="16129" width="0" style="116" hidden="1" customWidth="1"/>
    <col min="16130" max="16131" width="10.7109375" style="116" bestFit="1" customWidth="1"/>
    <col min="16132" max="16132" width="10.28515625" style="116" bestFit="1" customWidth="1"/>
    <col min="16133" max="16133" width="11.85546875" style="116" bestFit="1" customWidth="1"/>
    <col min="16134" max="16134" width="15.42578125" style="116" customWidth="1"/>
    <col min="16135" max="16383" width="9.140625" style="116"/>
    <col min="16384" max="16384" width="9.140625" style="116" customWidth="1"/>
  </cols>
  <sheetData>
    <row r="1" spans="1:10" ht="31.5" customHeight="1" x14ac:dyDescent="0.25">
      <c r="A1" s="555" t="s">
        <v>0</v>
      </c>
      <c r="B1" s="555"/>
      <c r="C1" s="555"/>
      <c r="D1" s="555"/>
      <c r="E1" s="555"/>
      <c r="F1" s="555"/>
      <c r="G1" s="555"/>
      <c r="H1" s="555"/>
      <c r="I1" s="555"/>
      <c r="J1" s="555"/>
    </row>
    <row r="2" spans="1:10" ht="31.5" customHeight="1" x14ac:dyDescent="0.25">
      <c r="A2" s="555" t="s">
        <v>1</v>
      </c>
      <c r="B2" s="555"/>
      <c r="C2" s="555"/>
      <c r="D2" s="555"/>
      <c r="E2" s="555"/>
      <c r="F2" s="555"/>
      <c r="G2" s="555"/>
      <c r="H2" s="555"/>
      <c r="I2" s="555"/>
      <c r="J2" s="555"/>
    </row>
    <row r="3" spans="1:10" ht="31.5" customHeight="1" x14ac:dyDescent="0.25">
      <c r="A3" s="555" t="s">
        <v>377</v>
      </c>
      <c r="B3" s="555"/>
      <c r="C3" s="555"/>
      <c r="D3" s="555"/>
      <c r="E3" s="555"/>
      <c r="F3" s="555"/>
      <c r="G3" s="555"/>
      <c r="H3" s="555"/>
      <c r="I3" s="555"/>
      <c r="J3" s="555"/>
    </row>
    <row r="4" spans="1:10" ht="18.75" customHeight="1" x14ac:dyDescent="0.25">
      <c r="A4" s="111"/>
      <c r="B4" s="111"/>
      <c r="C4" s="111"/>
      <c r="D4" s="110"/>
      <c r="E4" s="110"/>
      <c r="F4" s="110"/>
      <c r="G4" s="110"/>
      <c r="H4" s="112"/>
      <c r="I4" s="110"/>
      <c r="J4" s="110"/>
    </row>
    <row r="5" spans="1:10" ht="15.75" customHeight="1" x14ac:dyDescent="0.25">
      <c r="A5" s="556" t="s">
        <v>2</v>
      </c>
      <c r="B5" s="556"/>
      <c r="C5" s="556"/>
      <c r="D5" s="556"/>
      <c r="E5" s="556"/>
      <c r="F5" s="556"/>
      <c r="G5" s="556"/>
      <c r="H5" s="556"/>
      <c r="I5" s="556"/>
      <c r="J5" s="556"/>
    </row>
    <row r="6" spans="1:10" s="117" customFormat="1" ht="56.25" customHeight="1" x14ac:dyDescent="0.25">
      <c r="A6" s="119" t="s">
        <v>3</v>
      </c>
      <c r="B6" s="119" t="s">
        <v>4</v>
      </c>
      <c r="C6" s="120" t="s">
        <v>5</v>
      </c>
      <c r="D6" s="121" t="s">
        <v>6</v>
      </c>
      <c r="E6" s="119" t="s">
        <v>552</v>
      </c>
      <c r="F6" s="119" t="s">
        <v>556</v>
      </c>
      <c r="G6" s="275" t="s">
        <v>719</v>
      </c>
      <c r="H6" s="275" t="s">
        <v>554</v>
      </c>
      <c r="I6" s="113" t="s">
        <v>555</v>
      </c>
      <c r="J6" s="114" t="s">
        <v>553</v>
      </c>
    </row>
    <row r="7" spans="1:10" s="117" customFormat="1" x14ac:dyDescent="0.25">
      <c r="A7" s="557">
        <v>1</v>
      </c>
      <c r="B7" s="557"/>
      <c r="C7" s="557"/>
      <c r="D7" s="557"/>
      <c r="E7" s="122"/>
      <c r="F7" s="122"/>
      <c r="G7" s="122"/>
      <c r="H7" s="123">
        <v>2</v>
      </c>
      <c r="I7" s="124">
        <v>3</v>
      </c>
      <c r="J7" s="124">
        <v>4</v>
      </c>
    </row>
    <row r="8" spans="1:10" s="130" customFormat="1" x14ac:dyDescent="0.25">
      <c r="A8" s="125">
        <v>6</v>
      </c>
      <c r="B8" s="126"/>
      <c r="C8" s="125"/>
      <c r="D8" s="127" t="s">
        <v>7</v>
      </c>
      <c r="E8" s="128" t="e">
        <f>E9+E17+E28+E37+E45+E49+E55+E62+E68+E98+E107</f>
        <v>#REF!</v>
      </c>
      <c r="F8" s="128" t="e">
        <f>F9+F17+F28+F37+F45+F49+F55+F62+F68+F98+F107</f>
        <v>#REF!</v>
      </c>
      <c r="G8" s="128">
        <f>G9+G17+G28+G37+G45+G49+G55+G62+G68+G85+G91+G98+G107</f>
        <v>27028468.079999998</v>
      </c>
      <c r="H8" s="128">
        <f t="shared" ref="H8:J8" si="0">H9+H17+H28+H37+H45+H49+H55+H62+H68+H85+H91+H98+H107</f>
        <v>27399696.079999998</v>
      </c>
      <c r="I8" s="128">
        <f t="shared" si="0"/>
        <v>28076192.190000001</v>
      </c>
      <c r="J8" s="128">
        <f t="shared" si="0"/>
        <v>28547127.919999998</v>
      </c>
    </row>
    <row r="9" spans="1:10" s="130" customFormat="1" ht="31.5" x14ac:dyDescent="0.25">
      <c r="A9" s="131"/>
      <c r="B9" s="132">
        <v>67</v>
      </c>
      <c r="C9" s="133"/>
      <c r="D9" s="134" t="s">
        <v>8</v>
      </c>
      <c r="E9" s="135" t="e">
        <f t="shared" ref="E9:J9" si="1">E10</f>
        <v>#REF!</v>
      </c>
      <c r="F9" s="135" t="e">
        <f t="shared" si="1"/>
        <v>#REF!</v>
      </c>
      <c r="G9" s="135">
        <f t="shared" si="1"/>
        <v>879378.02</v>
      </c>
      <c r="H9" s="135">
        <f t="shared" si="1"/>
        <v>1250606.02</v>
      </c>
      <c r="I9" s="135">
        <f t="shared" si="1"/>
        <v>1250606.02</v>
      </c>
      <c r="J9" s="135">
        <f t="shared" si="1"/>
        <v>1250606.02</v>
      </c>
    </row>
    <row r="10" spans="1:10" s="130" customFormat="1" ht="31.5" x14ac:dyDescent="0.25">
      <c r="A10" s="131"/>
      <c r="B10" s="136" t="s">
        <v>9</v>
      </c>
      <c r="C10" s="137"/>
      <c r="D10" s="138" t="s">
        <v>10</v>
      </c>
      <c r="E10" s="139" t="e">
        <f>SUM(E11,#REF!)</f>
        <v>#REF!</v>
      </c>
      <c r="F10" s="139" t="e">
        <f>SUM(F11,#REF!)</f>
        <v>#REF!</v>
      </c>
      <c r="G10" s="139">
        <f>G11+G13</f>
        <v>879378.02</v>
      </c>
      <c r="H10" s="139">
        <f t="shared" ref="H10:J10" si="2">H11+H13</f>
        <v>1250606.02</v>
      </c>
      <c r="I10" s="139">
        <f t="shared" si="2"/>
        <v>1250606.02</v>
      </c>
      <c r="J10" s="139">
        <f t="shared" si="2"/>
        <v>1250606.02</v>
      </c>
    </row>
    <row r="11" spans="1:10" s="130" customFormat="1" ht="31.5" x14ac:dyDescent="0.25">
      <c r="A11" s="131"/>
      <c r="B11" s="136" t="s">
        <v>11</v>
      </c>
      <c r="C11" s="137"/>
      <c r="D11" s="138" t="s">
        <v>12</v>
      </c>
      <c r="E11" s="139">
        <f t="shared" ref="E11:J11" si="3">E12</f>
        <v>0</v>
      </c>
      <c r="F11" s="139">
        <f t="shared" si="3"/>
        <v>0</v>
      </c>
      <c r="G11" s="139">
        <f t="shared" si="3"/>
        <v>603978.02</v>
      </c>
      <c r="H11" s="139">
        <f t="shared" si="3"/>
        <v>481103.03</v>
      </c>
      <c r="I11" s="139">
        <f t="shared" si="3"/>
        <v>481103.03</v>
      </c>
      <c r="J11" s="139">
        <f t="shared" si="3"/>
        <v>481103.03</v>
      </c>
    </row>
    <row r="12" spans="1:10" s="130" customFormat="1" ht="15.75" customHeight="1" x14ac:dyDescent="0.25">
      <c r="A12" s="131"/>
      <c r="B12" s="140" t="s">
        <v>471</v>
      </c>
      <c r="C12" s="141"/>
      <c r="D12" s="142" t="s">
        <v>12</v>
      </c>
      <c r="E12" s="143">
        <v>0</v>
      </c>
      <c r="F12" s="143">
        <v>0</v>
      </c>
      <c r="G12" s="143">
        <v>603978.02</v>
      </c>
      <c r="H12" s="143">
        <v>481103.03</v>
      </c>
      <c r="I12" s="143">
        <v>481103.03</v>
      </c>
      <c r="J12" s="143">
        <v>481103.03</v>
      </c>
    </row>
    <row r="13" spans="1:10" s="148" customFormat="1" ht="15.75" customHeight="1" x14ac:dyDescent="0.25">
      <c r="A13" s="144"/>
      <c r="B13" s="136" t="s">
        <v>13</v>
      </c>
      <c r="C13" s="137"/>
      <c r="D13" s="138" t="s">
        <v>14</v>
      </c>
      <c r="E13" s="139">
        <f t="shared" ref="E13:J13" si="4">E14</f>
        <v>0</v>
      </c>
      <c r="F13" s="139">
        <f t="shared" si="4"/>
        <v>0</v>
      </c>
      <c r="G13" s="139">
        <f>G14</f>
        <v>275400</v>
      </c>
      <c r="H13" s="139">
        <f>H14</f>
        <v>769502.99</v>
      </c>
      <c r="I13" s="139">
        <f t="shared" si="4"/>
        <v>769502.99</v>
      </c>
      <c r="J13" s="139">
        <f t="shared" si="4"/>
        <v>769502.99</v>
      </c>
    </row>
    <row r="14" spans="1:10" s="130" customFormat="1" ht="15.75" customHeight="1" x14ac:dyDescent="0.25">
      <c r="A14" s="131"/>
      <c r="B14" s="140" t="s">
        <v>472</v>
      </c>
      <c r="C14" s="141"/>
      <c r="D14" s="142" t="s">
        <v>14</v>
      </c>
      <c r="E14" s="143"/>
      <c r="F14" s="143"/>
      <c r="G14" s="143">
        <v>275400</v>
      </c>
      <c r="H14" s="143">
        <v>769502.99</v>
      </c>
      <c r="I14" s="143">
        <v>769502.99</v>
      </c>
      <c r="J14" s="143">
        <v>769502.99</v>
      </c>
    </row>
    <row r="15" spans="1:10" s="148" customFormat="1" x14ac:dyDescent="0.25">
      <c r="A15" s="144"/>
      <c r="B15" s="145"/>
      <c r="C15" s="473">
        <v>11</v>
      </c>
      <c r="D15" s="146" t="s">
        <v>15</v>
      </c>
      <c r="E15" s="147" t="e">
        <f t="shared" ref="E15:J15" si="5">E9</f>
        <v>#REF!</v>
      </c>
      <c r="F15" s="147" t="e">
        <f t="shared" si="5"/>
        <v>#REF!</v>
      </c>
      <c r="G15" s="147">
        <f t="shared" si="5"/>
        <v>879378.02</v>
      </c>
      <c r="H15" s="147">
        <f t="shared" si="5"/>
        <v>1250606.02</v>
      </c>
      <c r="I15" s="147">
        <f t="shared" si="5"/>
        <v>1250606.02</v>
      </c>
      <c r="J15" s="147">
        <f t="shared" si="5"/>
        <v>1250606.02</v>
      </c>
    </row>
    <row r="16" spans="1:10" s="148" customFormat="1" x14ac:dyDescent="0.25">
      <c r="A16" s="144"/>
      <c r="B16" s="145"/>
      <c r="C16" s="467" t="s">
        <v>712</v>
      </c>
      <c r="D16" s="468" t="s">
        <v>713</v>
      </c>
      <c r="E16" s="147"/>
      <c r="F16" s="147"/>
      <c r="G16" s="147">
        <f>G15</f>
        <v>879378.02</v>
      </c>
      <c r="H16" s="147">
        <f>H15</f>
        <v>1250606.02</v>
      </c>
      <c r="I16" s="147">
        <f t="shared" ref="I16:J16" si="6">I15</f>
        <v>1250606.02</v>
      </c>
      <c r="J16" s="147">
        <f t="shared" si="6"/>
        <v>1250606.02</v>
      </c>
    </row>
    <row r="17" spans="1:10" s="130" customFormat="1" x14ac:dyDescent="0.25">
      <c r="A17" s="149"/>
      <c r="B17" s="162">
        <v>64</v>
      </c>
      <c r="C17" s="163"/>
      <c r="D17" s="164" t="s">
        <v>42</v>
      </c>
      <c r="E17" s="165">
        <f>SUM(E18,E25)</f>
        <v>0</v>
      </c>
      <c r="F17" s="165">
        <f t="shared" ref="F17:J17" si="7">SUM(F18,F25)</f>
        <v>0</v>
      </c>
      <c r="G17" s="165">
        <f t="shared" ref="G17" si="8">SUM(G18,G25)</f>
        <v>1000</v>
      </c>
      <c r="H17" s="165">
        <f t="shared" si="7"/>
        <v>1000</v>
      </c>
      <c r="I17" s="165">
        <f t="shared" si="7"/>
        <v>1404</v>
      </c>
      <c r="J17" s="165">
        <f t="shared" si="7"/>
        <v>1408.08</v>
      </c>
    </row>
    <row r="18" spans="1:10" s="130" customFormat="1" x14ac:dyDescent="0.25">
      <c r="A18" s="149"/>
      <c r="B18" s="166">
        <v>641</v>
      </c>
      <c r="C18" s="167"/>
      <c r="D18" s="152" t="s">
        <v>43</v>
      </c>
      <c r="E18" s="153">
        <f>SUM(E19,E21,E23)</f>
        <v>0</v>
      </c>
      <c r="F18" s="153">
        <f t="shared" ref="F18:J18" si="9">SUM(F19,F21,F23)</f>
        <v>0</v>
      </c>
      <c r="G18" s="153">
        <f t="shared" ref="G18" si="10">SUM(G19,G21,G23)</f>
        <v>600</v>
      </c>
      <c r="H18" s="153">
        <f t="shared" si="9"/>
        <v>600</v>
      </c>
      <c r="I18" s="153">
        <f t="shared" si="9"/>
        <v>804</v>
      </c>
      <c r="J18" s="153">
        <f t="shared" si="9"/>
        <v>808.08</v>
      </c>
    </row>
    <row r="19" spans="1:10" s="130" customFormat="1" x14ac:dyDescent="0.25">
      <c r="A19" s="149"/>
      <c r="B19" s="166">
        <v>6413</v>
      </c>
      <c r="C19" s="180"/>
      <c r="D19" s="152" t="s">
        <v>57</v>
      </c>
      <c r="E19" s="153">
        <f t="shared" ref="E19:J19" si="11">SUM(E20)</f>
        <v>0</v>
      </c>
      <c r="F19" s="153">
        <f t="shared" si="11"/>
        <v>0</v>
      </c>
      <c r="G19" s="153">
        <f t="shared" si="11"/>
        <v>550</v>
      </c>
      <c r="H19" s="153">
        <f t="shared" si="11"/>
        <v>550</v>
      </c>
      <c r="I19" s="153">
        <f t="shared" si="11"/>
        <v>754</v>
      </c>
      <c r="J19" s="153">
        <f t="shared" si="11"/>
        <v>758.08</v>
      </c>
    </row>
    <row r="20" spans="1:10" s="117" customFormat="1" x14ac:dyDescent="0.25">
      <c r="A20" s="131"/>
      <c r="B20" s="181">
        <v>64132</v>
      </c>
      <c r="C20" s="124"/>
      <c r="D20" s="182" t="s">
        <v>250</v>
      </c>
      <c r="E20" s="161">
        <v>0</v>
      </c>
      <c r="F20" s="161">
        <v>0</v>
      </c>
      <c r="G20" s="161">
        <v>550</v>
      </c>
      <c r="H20" s="161">
        <f>200+150+200</f>
        <v>550</v>
      </c>
      <c r="I20" s="161">
        <f>400+150+204</f>
        <v>754</v>
      </c>
      <c r="J20" s="161">
        <f>400+150+208.08</f>
        <v>758.08</v>
      </c>
    </row>
    <row r="21" spans="1:10" s="130" customFormat="1" x14ac:dyDescent="0.25">
      <c r="A21" s="149"/>
      <c r="B21" s="166">
        <v>6414</v>
      </c>
      <c r="C21" s="180"/>
      <c r="D21" s="152" t="s">
        <v>570</v>
      </c>
      <c r="E21" s="153">
        <f>E22</f>
        <v>0</v>
      </c>
      <c r="F21" s="153">
        <f t="shared" ref="F21:J21" si="12">F22</f>
        <v>0</v>
      </c>
      <c r="G21" s="153">
        <f t="shared" si="12"/>
        <v>50</v>
      </c>
      <c r="H21" s="153">
        <f t="shared" si="12"/>
        <v>50</v>
      </c>
      <c r="I21" s="153">
        <f t="shared" si="12"/>
        <v>50</v>
      </c>
      <c r="J21" s="153">
        <f t="shared" si="12"/>
        <v>50</v>
      </c>
    </row>
    <row r="22" spans="1:10" s="117" customFormat="1" x14ac:dyDescent="0.25">
      <c r="A22" s="131"/>
      <c r="B22" s="181">
        <v>64143</v>
      </c>
      <c r="C22" s="124"/>
      <c r="D22" s="182" t="s">
        <v>570</v>
      </c>
      <c r="E22" s="161">
        <v>0</v>
      </c>
      <c r="F22" s="161"/>
      <c r="G22" s="161">
        <v>50</v>
      </c>
      <c r="H22" s="161">
        <v>50</v>
      </c>
      <c r="I22" s="161">
        <v>50</v>
      </c>
      <c r="J22" s="161">
        <v>50</v>
      </c>
    </row>
    <row r="23" spans="1:10" s="117" customFormat="1" hidden="1" x14ac:dyDescent="0.25">
      <c r="A23" s="131"/>
      <c r="B23" s="166">
        <v>6419</v>
      </c>
      <c r="C23" s="180"/>
      <c r="D23" s="152" t="s">
        <v>44</v>
      </c>
      <c r="E23" s="153">
        <f>E24</f>
        <v>0</v>
      </c>
      <c r="F23" s="153">
        <f t="shared" ref="F23:J23" si="13">F24</f>
        <v>0</v>
      </c>
      <c r="G23" s="153">
        <f t="shared" si="13"/>
        <v>0</v>
      </c>
      <c r="H23" s="153">
        <f t="shared" si="13"/>
        <v>0</v>
      </c>
      <c r="I23" s="153">
        <f t="shared" si="13"/>
        <v>0</v>
      </c>
      <c r="J23" s="153">
        <f t="shared" si="13"/>
        <v>0</v>
      </c>
    </row>
    <row r="24" spans="1:10" s="117" customFormat="1" hidden="1" x14ac:dyDescent="0.25">
      <c r="A24" s="131"/>
      <c r="B24" s="181">
        <v>64199</v>
      </c>
      <c r="C24" s="124"/>
      <c r="D24" s="182" t="s">
        <v>44</v>
      </c>
      <c r="E24" s="161"/>
      <c r="F24" s="161"/>
      <c r="G24" s="161"/>
      <c r="H24" s="161">
        <v>0</v>
      </c>
      <c r="I24" s="161">
        <v>0</v>
      </c>
      <c r="J24" s="161">
        <v>0</v>
      </c>
    </row>
    <row r="25" spans="1:10" s="130" customFormat="1" x14ac:dyDescent="0.25">
      <c r="A25" s="149"/>
      <c r="B25" s="166">
        <v>642</v>
      </c>
      <c r="C25" s="180"/>
      <c r="D25" s="152" t="s">
        <v>653</v>
      </c>
      <c r="E25" s="153">
        <f>E26</f>
        <v>0</v>
      </c>
      <c r="F25" s="153">
        <f t="shared" ref="F25:J25" si="14">F26</f>
        <v>0</v>
      </c>
      <c r="G25" s="153">
        <f t="shared" si="14"/>
        <v>400</v>
      </c>
      <c r="H25" s="153">
        <f t="shared" si="14"/>
        <v>400</v>
      </c>
      <c r="I25" s="153">
        <f t="shared" si="14"/>
        <v>600</v>
      </c>
      <c r="J25" s="153">
        <f t="shared" si="14"/>
        <v>600</v>
      </c>
    </row>
    <row r="26" spans="1:10" s="117" customFormat="1" x14ac:dyDescent="0.25">
      <c r="A26" s="131"/>
      <c r="B26" s="166">
        <v>6429</v>
      </c>
      <c r="C26" s="180"/>
      <c r="D26" s="453" t="s">
        <v>58</v>
      </c>
      <c r="E26" s="454">
        <f>E27</f>
        <v>0</v>
      </c>
      <c r="F26" s="454">
        <f t="shared" ref="F26:J26" si="15">F27</f>
        <v>0</v>
      </c>
      <c r="G26" s="454">
        <f t="shared" si="15"/>
        <v>400</v>
      </c>
      <c r="H26" s="454">
        <f t="shared" si="15"/>
        <v>400</v>
      </c>
      <c r="I26" s="454">
        <f t="shared" si="15"/>
        <v>600</v>
      </c>
      <c r="J26" s="454">
        <f t="shared" si="15"/>
        <v>600</v>
      </c>
    </row>
    <row r="27" spans="1:10" s="117" customFormat="1" x14ac:dyDescent="0.25">
      <c r="A27" s="131"/>
      <c r="B27" s="181">
        <v>64299</v>
      </c>
      <c r="C27" s="124"/>
      <c r="D27" s="182" t="s">
        <v>58</v>
      </c>
      <c r="E27" s="80"/>
      <c r="F27" s="80"/>
      <c r="G27" s="80">
        <v>400</v>
      </c>
      <c r="H27" s="161">
        <v>400</v>
      </c>
      <c r="I27" s="161">
        <v>600</v>
      </c>
      <c r="J27" s="161">
        <v>600</v>
      </c>
    </row>
    <row r="28" spans="1:10" s="117" customFormat="1" ht="31.5" x14ac:dyDescent="0.25">
      <c r="A28" s="149"/>
      <c r="B28" s="132">
        <v>66</v>
      </c>
      <c r="C28" s="133"/>
      <c r="D28" s="134" t="s">
        <v>59</v>
      </c>
      <c r="E28" s="183">
        <f t="shared" ref="E28:J28" si="16">SUM(E29)</f>
        <v>0</v>
      </c>
      <c r="F28" s="183">
        <f t="shared" si="16"/>
        <v>0</v>
      </c>
      <c r="G28" s="183">
        <f t="shared" si="16"/>
        <v>3643116.33</v>
      </c>
      <c r="H28" s="183">
        <f t="shared" si="16"/>
        <v>3643116.33</v>
      </c>
      <c r="I28" s="183">
        <f t="shared" si="16"/>
        <v>3683716.33</v>
      </c>
      <c r="J28" s="183">
        <f t="shared" si="16"/>
        <v>3714928.33</v>
      </c>
    </row>
    <row r="29" spans="1:10" s="117" customFormat="1" x14ac:dyDescent="0.25">
      <c r="A29" s="149"/>
      <c r="B29" s="154" t="s">
        <v>60</v>
      </c>
      <c r="C29" s="155"/>
      <c r="D29" s="156" t="s">
        <v>61</v>
      </c>
      <c r="E29" s="184">
        <f>SUM(E30,E33)</f>
        <v>0</v>
      </c>
      <c r="F29" s="184">
        <f t="shared" ref="F29:J29" si="17">SUM(F30,F33)</f>
        <v>0</v>
      </c>
      <c r="G29" s="184">
        <f t="shared" ref="G29" si="18">SUM(G30,G33)</f>
        <v>3643116.33</v>
      </c>
      <c r="H29" s="184">
        <f t="shared" si="17"/>
        <v>3643116.33</v>
      </c>
      <c r="I29" s="184">
        <f t="shared" si="17"/>
        <v>3683716.33</v>
      </c>
      <c r="J29" s="184">
        <f t="shared" si="17"/>
        <v>3714928.33</v>
      </c>
    </row>
    <row r="30" spans="1:10" s="117" customFormat="1" x14ac:dyDescent="0.25">
      <c r="A30" s="149"/>
      <c r="B30" s="154" t="s">
        <v>62</v>
      </c>
      <c r="C30" s="155"/>
      <c r="D30" s="156" t="s">
        <v>63</v>
      </c>
      <c r="E30" s="184">
        <f>E31+E32</f>
        <v>0</v>
      </c>
      <c r="F30" s="184">
        <f t="shared" ref="F30:J30" si="19">F31+F32</f>
        <v>0</v>
      </c>
      <c r="G30" s="184">
        <f t="shared" ref="G30" si="20">G31+G32</f>
        <v>2625000</v>
      </c>
      <c r="H30" s="184">
        <f t="shared" si="19"/>
        <v>2625000</v>
      </c>
      <c r="I30" s="184">
        <f t="shared" si="19"/>
        <v>2656000</v>
      </c>
      <c r="J30" s="184">
        <f t="shared" si="19"/>
        <v>2677000</v>
      </c>
    </row>
    <row r="31" spans="1:10" s="117" customFormat="1" x14ac:dyDescent="0.25">
      <c r="A31" s="149"/>
      <c r="B31" s="158" t="s">
        <v>654</v>
      </c>
      <c r="C31" s="177"/>
      <c r="D31" s="159" t="s">
        <v>717</v>
      </c>
      <c r="E31" s="185">
        <v>0</v>
      </c>
      <c r="F31" s="185">
        <v>0</v>
      </c>
      <c r="G31" s="185">
        <v>25000</v>
      </c>
      <c r="H31" s="185">
        <v>25000</v>
      </c>
      <c r="I31" s="185">
        <v>26000</v>
      </c>
      <c r="J31" s="185">
        <v>27000</v>
      </c>
    </row>
    <row r="32" spans="1:10" s="117" customFormat="1" x14ac:dyDescent="0.25">
      <c r="A32" s="131"/>
      <c r="B32" s="158" t="s">
        <v>648</v>
      </c>
      <c r="C32" s="177"/>
      <c r="D32" s="159" t="s">
        <v>649</v>
      </c>
      <c r="E32" s="185"/>
      <c r="F32" s="185"/>
      <c r="G32" s="185">
        <v>2600000</v>
      </c>
      <c r="H32" s="185">
        <f>1000000+1600000</f>
        <v>2600000</v>
      </c>
      <c r="I32" s="185">
        <f>1020000+1610000</f>
        <v>2630000</v>
      </c>
      <c r="J32" s="185">
        <f>1040000+1610000</f>
        <v>2650000</v>
      </c>
    </row>
    <row r="33" spans="1:10" s="117" customFormat="1" x14ac:dyDescent="0.25">
      <c r="A33" s="149"/>
      <c r="B33" s="154" t="s">
        <v>64</v>
      </c>
      <c r="C33" s="155"/>
      <c r="D33" s="156" t="s">
        <v>65</v>
      </c>
      <c r="E33" s="184">
        <f>SUM(E34:E36)</f>
        <v>0</v>
      </c>
      <c r="F33" s="184">
        <f t="shared" ref="F33:J33" si="21">SUM(F34:F36)</f>
        <v>0</v>
      </c>
      <c r="G33" s="184">
        <f t="shared" si="21"/>
        <v>1018116.33</v>
      </c>
      <c r="H33" s="184">
        <f t="shared" si="21"/>
        <v>1018116.33</v>
      </c>
      <c r="I33" s="184">
        <f t="shared" si="21"/>
        <v>1027716.33</v>
      </c>
      <c r="J33" s="184">
        <f t="shared" si="21"/>
        <v>1037928.33</v>
      </c>
    </row>
    <row r="34" spans="1:10" s="130" customFormat="1" x14ac:dyDescent="0.25">
      <c r="A34" s="131"/>
      <c r="B34" s="158" t="s">
        <v>477</v>
      </c>
      <c r="C34" s="177"/>
      <c r="D34" s="159" t="s">
        <v>65</v>
      </c>
      <c r="E34" s="186">
        <v>0</v>
      </c>
      <c r="F34" s="186">
        <v>0</v>
      </c>
      <c r="G34" s="186">
        <v>1013116.33</v>
      </c>
      <c r="H34" s="186">
        <f>350000+163116.33+500000</f>
        <v>1013116.33</v>
      </c>
      <c r="I34" s="186">
        <f>350000+163116.33+509000</f>
        <v>1022116.33</v>
      </c>
      <c r="J34" s="186">
        <f>350000+163116.33+518000</f>
        <v>1031116.33</v>
      </c>
    </row>
    <row r="35" spans="1:10" s="130" customFormat="1" hidden="1" x14ac:dyDescent="0.25">
      <c r="A35" s="131"/>
      <c r="B35" s="158" t="s">
        <v>571</v>
      </c>
      <c r="C35" s="177"/>
      <c r="D35" s="159" t="s">
        <v>572</v>
      </c>
      <c r="E35" s="186">
        <v>0</v>
      </c>
      <c r="F35" s="186">
        <v>0</v>
      </c>
      <c r="G35" s="186"/>
      <c r="H35" s="186"/>
      <c r="I35" s="185"/>
      <c r="J35" s="161"/>
    </row>
    <row r="36" spans="1:10" s="130" customFormat="1" x14ac:dyDescent="0.25">
      <c r="A36" s="131"/>
      <c r="B36" s="158" t="s">
        <v>655</v>
      </c>
      <c r="C36" s="177"/>
      <c r="D36" s="159" t="s">
        <v>656</v>
      </c>
      <c r="E36" s="186">
        <v>0</v>
      </c>
      <c r="F36" s="186">
        <v>0</v>
      </c>
      <c r="G36" s="186">
        <v>5000</v>
      </c>
      <c r="H36" s="186">
        <v>5000</v>
      </c>
      <c r="I36" s="185">
        <v>5600</v>
      </c>
      <c r="J36" s="161">
        <v>6812</v>
      </c>
    </row>
    <row r="37" spans="1:10" s="130" customFormat="1" x14ac:dyDescent="0.25">
      <c r="A37" s="149"/>
      <c r="B37" s="132" t="s">
        <v>51</v>
      </c>
      <c r="C37" s="133"/>
      <c r="D37" s="134" t="s">
        <v>52</v>
      </c>
      <c r="E37" s="183">
        <f t="shared" ref="E37:J38" si="22">SUM(E38)</f>
        <v>0</v>
      </c>
      <c r="F37" s="183">
        <f t="shared" si="22"/>
        <v>0</v>
      </c>
      <c r="G37" s="183">
        <f t="shared" si="22"/>
        <v>161000</v>
      </c>
      <c r="H37" s="183">
        <f t="shared" si="22"/>
        <v>161000</v>
      </c>
      <c r="I37" s="183">
        <f t="shared" si="22"/>
        <v>166620</v>
      </c>
      <c r="J37" s="183">
        <f t="shared" si="22"/>
        <v>167252.4</v>
      </c>
    </row>
    <row r="38" spans="1:10" s="130" customFormat="1" x14ac:dyDescent="0.25">
      <c r="A38" s="149"/>
      <c r="B38" s="154" t="s">
        <v>53</v>
      </c>
      <c r="C38" s="155"/>
      <c r="D38" s="156" t="s">
        <v>54</v>
      </c>
      <c r="E38" s="184">
        <f t="shared" si="22"/>
        <v>0</v>
      </c>
      <c r="F38" s="184">
        <f t="shared" si="22"/>
        <v>0</v>
      </c>
      <c r="G38" s="184">
        <f t="shared" si="22"/>
        <v>161000</v>
      </c>
      <c r="H38" s="184">
        <f t="shared" si="22"/>
        <v>161000</v>
      </c>
      <c r="I38" s="184">
        <f t="shared" si="22"/>
        <v>166620</v>
      </c>
      <c r="J38" s="184">
        <f t="shared" si="22"/>
        <v>167252.4</v>
      </c>
    </row>
    <row r="39" spans="1:10" s="130" customFormat="1" x14ac:dyDescent="0.25">
      <c r="A39" s="131"/>
      <c r="B39" s="154" t="s">
        <v>55</v>
      </c>
      <c r="C39" s="155"/>
      <c r="D39" s="156" t="s">
        <v>54</v>
      </c>
      <c r="E39" s="184">
        <f>E40+E41+E42</f>
        <v>0</v>
      </c>
      <c r="F39" s="184">
        <f t="shared" ref="F39:J39" si="23">F40+F41+F42</f>
        <v>0</v>
      </c>
      <c r="G39" s="184">
        <f t="shared" ref="G39" si="24">G40+G41+G42</f>
        <v>161000</v>
      </c>
      <c r="H39" s="184">
        <f t="shared" si="23"/>
        <v>161000</v>
      </c>
      <c r="I39" s="184">
        <f t="shared" si="23"/>
        <v>166620</v>
      </c>
      <c r="J39" s="184">
        <f t="shared" si="23"/>
        <v>167252.4</v>
      </c>
    </row>
    <row r="40" spans="1:10" s="117" customFormat="1" x14ac:dyDescent="0.25">
      <c r="A40" s="131"/>
      <c r="B40" s="158" t="s">
        <v>476</v>
      </c>
      <c r="C40" s="177"/>
      <c r="D40" s="159" t="s">
        <v>54</v>
      </c>
      <c r="E40" s="185">
        <v>0</v>
      </c>
      <c r="F40" s="185">
        <v>0</v>
      </c>
      <c r="G40" s="185">
        <v>133000</v>
      </c>
      <c r="H40" s="185">
        <f>3000+130000</f>
        <v>133000</v>
      </c>
      <c r="I40" s="185">
        <f>3000+135000</f>
        <v>138000</v>
      </c>
      <c r="J40" s="161">
        <f>3000+135000</f>
        <v>138000</v>
      </c>
    </row>
    <row r="41" spans="1:10" s="117" customFormat="1" x14ac:dyDescent="0.25">
      <c r="A41" s="131"/>
      <c r="B41" s="158" t="s">
        <v>657</v>
      </c>
      <c r="C41" s="177"/>
      <c r="D41" s="159" t="s">
        <v>659</v>
      </c>
      <c r="E41" s="185">
        <v>0</v>
      </c>
      <c r="F41" s="185">
        <v>0</v>
      </c>
      <c r="G41" s="185">
        <v>3000</v>
      </c>
      <c r="H41" s="185">
        <v>3000</v>
      </c>
      <c r="I41" s="185">
        <v>3000</v>
      </c>
      <c r="J41" s="161">
        <v>3000</v>
      </c>
    </row>
    <row r="42" spans="1:10" s="117" customFormat="1" x14ac:dyDescent="0.25">
      <c r="A42" s="131"/>
      <c r="B42" s="158" t="s">
        <v>658</v>
      </c>
      <c r="C42" s="177"/>
      <c r="D42" s="159" t="s">
        <v>664</v>
      </c>
      <c r="E42" s="185">
        <v>0</v>
      </c>
      <c r="F42" s="185">
        <v>0</v>
      </c>
      <c r="G42" s="185">
        <v>25000</v>
      </c>
      <c r="H42" s="185">
        <v>25000</v>
      </c>
      <c r="I42" s="185">
        <v>25620</v>
      </c>
      <c r="J42" s="161">
        <v>26252.400000000001</v>
      </c>
    </row>
    <row r="43" spans="1:10" s="187" customFormat="1" x14ac:dyDescent="0.25">
      <c r="A43" s="144"/>
      <c r="B43" s="145"/>
      <c r="C43" s="473" t="s">
        <v>66</v>
      </c>
      <c r="D43" s="146" t="s">
        <v>67</v>
      </c>
      <c r="E43" s="147">
        <f t="shared" ref="E43:J43" si="25">E17+E28+E37</f>
        <v>0</v>
      </c>
      <c r="F43" s="147">
        <f t="shared" si="25"/>
        <v>0</v>
      </c>
      <c r="G43" s="147">
        <f>G17+G28+G37</f>
        <v>3805116.33</v>
      </c>
      <c r="H43" s="147">
        <f>H17+H28+H37</f>
        <v>3805116.33</v>
      </c>
      <c r="I43" s="147">
        <f t="shared" si="25"/>
        <v>3851740.33</v>
      </c>
      <c r="J43" s="147">
        <f t="shared" si="25"/>
        <v>3883588.81</v>
      </c>
    </row>
    <row r="44" spans="1:10" s="187" customFormat="1" x14ac:dyDescent="0.25">
      <c r="A44" s="144"/>
      <c r="B44" s="145"/>
      <c r="C44" s="467" t="s">
        <v>83</v>
      </c>
      <c r="D44" s="468" t="s">
        <v>711</v>
      </c>
      <c r="E44" s="147"/>
      <c r="F44" s="147"/>
      <c r="G44" s="147">
        <f>G43</f>
        <v>3805116.33</v>
      </c>
      <c r="H44" s="147">
        <f>H43</f>
        <v>3805116.33</v>
      </c>
      <c r="I44" s="147">
        <f>I43</f>
        <v>3851740.33</v>
      </c>
      <c r="J44" s="147">
        <f>J43</f>
        <v>3883588.81</v>
      </c>
    </row>
    <row r="45" spans="1:10" s="148" customFormat="1" x14ac:dyDescent="0.25">
      <c r="A45" s="144"/>
      <c r="B45" s="162">
        <v>64</v>
      </c>
      <c r="C45" s="163"/>
      <c r="D45" s="164" t="s">
        <v>42</v>
      </c>
      <c r="E45" s="165">
        <f t="shared" ref="E45:F45" si="26">SUM(E46)</f>
        <v>0</v>
      </c>
      <c r="F45" s="165">
        <f t="shared" si="26"/>
        <v>0</v>
      </c>
      <c r="G45" s="165">
        <f>SUM(G46)</f>
        <v>100000</v>
      </c>
      <c r="H45" s="165">
        <f>SUM(H46)</f>
        <v>100000</v>
      </c>
      <c r="I45" s="165">
        <f>SUM(I46)</f>
        <v>102000</v>
      </c>
      <c r="J45" s="165">
        <f>SUM(J46)</f>
        <v>104040</v>
      </c>
    </row>
    <row r="46" spans="1:10" s="148" customFormat="1" x14ac:dyDescent="0.25">
      <c r="A46" s="144"/>
      <c r="B46" s="166">
        <v>641</v>
      </c>
      <c r="C46" s="167"/>
      <c r="D46" s="152" t="s">
        <v>43</v>
      </c>
      <c r="E46" s="153">
        <f>SUM(E47:E47)</f>
        <v>0</v>
      </c>
      <c r="F46" s="153">
        <f t="shared" ref="F46:J46" si="27">SUM(F47:F47)</f>
        <v>0</v>
      </c>
      <c r="G46" s="153">
        <f t="shared" si="27"/>
        <v>100000</v>
      </c>
      <c r="H46" s="153">
        <f t="shared" si="27"/>
        <v>100000</v>
      </c>
      <c r="I46" s="153">
        <f t="shared" si="27"/>
        <v>102000</v>
      </c>
      <c r="J46" s="153">
        <f t="shared" si="27"/>
        <v>104040</v>
      </c>
    </row>
    <row r="47" spans="1:10" s="148" customFormat="1" x14ac:dyDescent="0.25">
      <c r="A47" s="144"/>
      <c r="B47" s="166">
        <v>6419</v>
      </c>
      <c r="C47" s="167"/>
      <c r="D47" s="152" t="s">
        <v>44</v>
      </c>
      <c r="E47" s="153">
        <f>E48</f>
        <v>0</v>
      </c>
      <c r="F47" s="153">
        <f t="shared" ref="F47:J47" si="28">F48</f>
        <v>0</v>
      </c>
      <c r="G47" s="153">
        <f t="shared" si="28"/>
        <v>100000</v>
      </c>
      <c r="H47" s="153">
        <f t="shared" si="28"/>
        <v>100000</v>
      </c>
      <c r="I47" s="153">
        <f t="shared" si="28"/>
        <v>102000</v>
      </c>
      <c r="J47" s="153">
        <f t="shared" si="28"/>
        <v>104040</v>
      </c>
    </row>
    <row r="48" spans="1:10" s="187" customFormat="1" x14ac:dyDescent="0.25">
      <c r="A48" s="456"/>
      <c r="B48" s="181">
        <v>64199</v>
      </c>
      <c r="C48" s="457"/>
      <c r="D48" s="182" t="s">
        <v>44</v>
      </c>
      <c r="E48" s="161"/>
      <c r="F48" s="161"/>
      <c r="G48" s="161">
        <v>100000</v>
      </c>
      <c r="H48" s="161">
        <v>100000</v>
      </c>
      <c r="I48" s="161">
        <v>102000</v>
      </c>
      <c r="J48" s="161">
        <v>104040</v>
      </c>
    </row>
    <row r="49" spans="1:10" s="117" customFormat="1" ht="31.5" x14ac:dyDescent="0.25">
      <c r="A49" s="149"/>
      <c r="B49" s="168">
        <v>65</v>
      </c>
      <c r="C49" s="169"/>
      <c r="D49" s="170" t="s">
        <v>718</v>
      </c>
      <c r="E49" s="135">
        <f t="shared" ref="E49:J50" si="29">SUM(E50)</f>
        <v>0</v>
      </c>
      <c r="F49" s="135">
        <f t="shared" si="29"/>
        <v>0</v>
      </c>
      <c r="G49" s="135">
        <f t="shared" si="29"/>
        <v>932300</v>
      </c>
      <c r="H49" s="135">
        <f t="shared" si="29"/>
        <v>932300</v>
      </c>
      <c r="I49" s="135">
        <f t="shared" si="29"/>
        <v>960895</v>
      </c>
      <c r="J49" s="135">
        <f t="shared" si="29"/>
        <v>971559.4</v>
      </c>
    </row>
    <row r="50" spans="1:10" s="117" customFormat="1" x14ac:dyDescent="0.25">
      <c r="A50" s="149"/>
      <c r="B50" s="171">
        <v>652</v>
      </c>
      <c r="C50" s="172"/>
      <c r="D50" s="173" t="s">
        <v>46</v>
      </c>
      <c r="E50" s="157">
        <f t="shared" si="29"/>
        <v>0</v>
      </c>
      <c r="F50" s="157">
        <f t="shared" si="29"/>
        <v>0</v>
      </c>
      <c r="G50" s="157">
        <f t="shared" si="29"/>
        <v>932300</v>
      </c>
      <c r="H50" s="157">
        <f t="shared" si="29"/>
        <v>932300</v>
      </c>
      <c r="I50" s="157">
        <f t="shared" si="29"/>
        <v>960895</v>
      </c>
      <c r="J50" s="157">
        <f t="shared" si="29"/>
        <v>971559.4</v>
      </c>
    </row>
    <row r="51" spans="1:10" s="117" customFormat="1" x14ac:dyDescent="0.25">
      <c r="A51" s="149"/>
      <c r="B51" s="171">
        <v>6526</v>
      </c>
      <c r="C51" s="172"/>
      <c r="D51" s="173" t="s">
        <v>47</v>
      </c>
      <c r="E51" s="157">
        <f t="shared" ref="E51:J51" si="30">SUM(E52:E54)</f>
        <v>0</v>
      </c>
      <c r="F51" s="157">
        <f t="shared" si="30"/>
        <v>0</v>
      </c>
      <c r="G51" s="157">
        <f t="shared" si="30"/>
        <v>932300</v>
      </c>
      <c r="H51" s="157">
        <f t="shared" si="30"/>
        <v>932300</v>
      </c>
      <c r="I51" s="157">
        <f t="shared" si="30"/>
        <v>960895</v>
      </c>
      <c r="J51" s="157">
        <f t="shared" si="30"/>
        <v>971559.4</v>
      </c>
    </row>
    <row r="52" spans="1:10" s="117" customFormat="1" x14ac:dyDescent="0.25">
      <c r="A52" s="149"/>
      <c r="B52" s="174">
        <v>65264</v>
      </c>
      <c r="C52" s="175"/>
      <c r="D52" s="176" t="s">
        <v>468</v>
      </c>
      <c r="E52" s="161">
        <v>0</v>
      </c>
      <c r="F52" s="161">
        <v>0</v>
      </c>
      <c r="G52" s="161">
        <v>902800</v>
      </c>
      <c r="H52" s="161">
        <f>497800+55000+350000</f>
        <v>902800</v>
      </c>
      <c r="I52" s="160">
        <f>515000+57500+356520</f>
        <v>929020</v>
      </c>
      <c r="J52" s="160">
        <f>515000+60000+363190.4</f>
        <v>938190.4</v>
      </c>
    </row>
    <row r="53" spans="1:10" s="117" customFormat="1" x14ac:dyDescent="0.25">
      <c r="A53" s="149"/>
      <c r="B53" s="174">
        <v>65267</v>
      </c>
      <c r="C53" s="175"/>
      <c r="D53" s="176" t="s">
        <v>469</v>
      </c>
      <c r="E53" s="161"/>
      <c r="F53" s="161"/>
      <c r="G53" s="161">
        <v>1000</v>
      </c>
      <c r="H53" s="161">
        <v>1000</v>
      </c>
      <c r="I53" s="160">
        <v>1000</v>
      </c>
      <c r="J53" s="160">
        <v>1000</v>
      </c>
    </row>
    <row r="54" spans="1:10" s="130" customFormat="1" x14ac:dyDescent="0.25">
      <c r="A54" s="131"/>
      <c r="B54" s="174">
        <v>65269</v>
      </c>
      <c r="C54" s="175"/>
      <c r="D54" s="176" t="s">
        <v>470</v>
      </c>
      <c r="E54" s="160">
        <v>0</v>
      </c>
      <c r="F54" s="160">
        <v>0</v>
      </c>
      <c r="G54" s="160">
        <v>28500</v>
      </c>
      <c r="H54" s="160">
        <f>25000+3500</f>
        <v>28500</v>
      </c>
      <c r="I54" s="160">
        <f>26000+4875</f>
        <v>30875</v>
      </c>
      <c r="J54" s="161">
        <f>27000+5369</f>
        <v>32369</v>
      </c>
    </row>
    <row r="55" spans="1:10" s="130" customFormat="1" ht="31.5" x14ac:dyDescent="0.25">
      <c r="A55" s="131"/>
      <c r="B55" s="132">
        <v>67</v>
      </c>
      <c r="C55" s="133"/>
      <c r="D55" s="134" t="s">
        <v>8</v>
      </c>
      <c r="E55" s="135">
        <f t="shared" ref="E55" si="31">SUM(E56,E59)</f>
        <v>0</v>
      </c>
      <c r="F55" s="135">
        <f t="shared" ref="F55:J55" si="32">SUM(F56,F59)</f>
        <v>0</v>
      </c>
      <c r="G55" s="135">
        <f t="shared" si="32"/>
        <v>20119749.899999999</v>
      </c>
      <c r="H55" s="135">
        <f t="shared" si="32"/>
        <v>20119749.899999999</v>
      </c>
      <c r="I55" s="135">
        <f t="shared" si="32"/>
        <v>20847031.350000001</v>
      </c>
      <c r="J55" s="135">
        <f t="shared" si="32"/>
        <v>21326580.800000001</v>
      </c>
    </row>
    <row r="56" spans="1:10" s="130" customFormat="1" ht="31.5" hidden="1" x14ac:dyDescent="0.25">
      <c r="A56" s="131"/>
      <c r="B56" s="136" t="s">
        <v>9</v>
      </c>
      <c r="C56" s="137"/>
      <c r="D56" s="138" t="s">
        <v>10</v>
      </c>
      <c r="E56" s="139">
        <f t="shared" ref="E56" si="33">SUM(E57:E58)</f>
        <v>0</v>
      </c>
      <c r="F56" s="139">
        <f t="shared" ref="F56:J56" si="34">SUM(F57:F58)</f>
        <v>0</v>
      </c>
      <c r="G56" s="139"/>
      <c r="H56" s="139">
        <f t="shared" si="34"/>
        <v>0</v>
      </c>
      <c r="I56" s="139">
        <f t="shared" si="34"/>
        <v>0</v>
      </c>
      <c r="J56" s="139">
        <f t="shared" si="34"/>
        <v>0</v>
      </c>
    </row>
    <row r="57" spans="1:10" s="130" customFormat="1" hidden="1" x14ac:dyDescent="0.25">
      <c r="A57" s="131"/>
      <c r="B57" s="140" t="s">
        <v>11</v>
      </c>
      <c r="C57" s="141"/>
      <c r="D57" s="142" t="s">
        <v>12</v>
      </c>
      <c r="E57" s="143">
        <v>0</v>
      </c>
      <c r="F57" s="143">
        <v>0</v>
      </c>
      <c r="G57" s="143"/>
      <c r="H57" s="143">
        <v>0</v>
      </c>
      <c r="I57" s="143">
        <v>0</v>
      </c>
      <c r="J57" s="143">
        <v>0</v>
      </c>
    </row>
    <row r="58" spans="1:10" s="130" customFormat="1" hidden="1" x14ac:dyDescent="0.25">
      <c r="A58" s="131"/>
      <c r="B58" s="140" t="s">
        <v>13</v>
      </c>
      <c r="C58" s="141"/>
      <c r="D58" s="142" t="s">
        <v>14</v>
      </c>
      <c r="E58" s="143">
        <v>0</v>
      </c>
      <c r="F58" s="143">
        <v>0</v>
      </c>
      <c r="G58" s="143"/>
      <c r="H58" s="143">
        <v>0</v>
      </c>
      <c r="I58" s="143">
        <v>0</v>
      </c>
      <c r="J58" s="143">
        <v>0</v>
      </c>
    </row>
    <row r="59" spans="1:10" s="130" customFormat="1" x14ac:dyDescent="0.25">
      <c r="A59" s="131"/>
      <c r="B59" s="154" t="s">
        <v>48</v>
      </c>
      <c r="C59" s="155"/>
      <c r="D59" s="156" t="s">
        <v>49</v>
      </c>
      <c r="E59" s="157">
        <f t="shared" ref="E59:J60" si="35">SUM(E60)</f>
        <v>0</v>
      </c>
      <c r="F59" s="157">
        <f t="shared" si="35"/>
        <v>0</v>
      </c>
      <c r="G59" s="157">
        <f t="shared" si="35"/>
        <v>20119749.899999999</v>
      </c>
      <c r="H59" s="157">
        <f t="shared" si="35"/>
        <v>20119749.899999999</v>
      </c>
      <c r="I59" s="157">
        <f t="shared" si="35"/>
        <v>20847031.350000001</v>
      </c>
      <c r="J59" s="157">
        <f t="shared" si="35"/>
        <v>21326580.800000001</v>
      </c>
    </row>
    <row r="60" spans="1:10" s="130" customFormat="1" x14ac:dyDescent="0.25">
      <c r="A60" s="131"/>
      <c r="B60" s="154" t="s">
        <v>50</v>
      </c>
      <c r="C60" s="155"/>
      <c r="D60" s="156" t="s">
        <v>49</v>
      </c>
      <c r="E60" s="157">
        <f t="shared" si="35"/>
        <v>0</v>
      </c>
      <c r="F60" s="157">
        <f t="shared" si="35"/>
        <v>0</v>
      </c>
      <c r="G60" s="157">
        <f t="shared" si="35"/>
        <v>20119749.899999999</v>
      </c>
      <c r="H60" s="157">
        <f t="shared" si="35"/>
        <v>20119749.899999999</v>
      </c>
      <c r="I60" s="157">
        <f t="shared" si="35"/>
        <v>20847031.350000001</v>
      </c>
      <c r="J60" s="157">
        <f t="shared" si="35"/>
        <v>21326580.800000001</v>
      </c>
    </row>
    <row r="61" spans="1:10" s="130" customFormat="1" x14ac:dyDescent="0.25">
      <c r="A61" s="131"/>
      <c r="B61" s="158" t="s">
        <v>475</v>
      </c>
      <c r="C61" s="177"/>
      <c r="D61" s="159" t="s">
        <v>49</v>
      </c>
      <c r="E61" s="160">
        <v>0</v>
      </c>
      <c r="F61" s="160">
        <v>0</v>
      </c>
      <c r="G61" s="160">
        <v>20119749.899999999</v>
      </c>
      <c r="H61" s="160">
        <f>8100663+4599086.9+7420000</f>
        <v>20119749.899999999</v>
      </c>
      <c r="I61" s="160">
        <f>8141363+5137268.35+7568400</f>
        <v>20847031.350000001</v>
      </c>
      <c r="J61" s="161">
        <f>8201363+5405449.8+7719768</f>
        <v>21326580.800000001</v>
      </c>
    </row>
    <row r="62" spans="1:10" s="130" customFormat="1" x14ac:dyDescent="0.25">
      <c r="A62" s="131"/>
      <c r="B62" s="132" t="s">
        <v>51</v>
      </c>
      <c r="C62" s="133"/>
      <c r="D62" s="134" t="s">
        <v>52</v>
      </c>
      <c r="E62" s="135">
        <f t="shared" ref="E62:J64" si="36">SUM(E63)</f>
        <v>0</v>
      </c>
      <c r="F62" s="135">
        <f t="shared" si="36"/>
        <v>0</v>
      </c>
      <c r="G62" s="135">
        <f t="shared" si="36"/>
        <v>3000</v>
      </c>
      <c r="H62" s="135">
        <f t="shared" si="36"/>
        <v>3000</v>
      </c>
      <c r="I62" s="135">
        <f t="shared" si="36"/>
        <v>3000</v>
      </c>
      <c r="J62" s="135">
        <f t="shared" si="36"/>
        <v>3000</v>
      </c>
    </row>
    <row r="63" spans="1:10" s="130" customFormat="1" x14ac:dyDescent="0.25">
      <c r="A63" s="131"/>
      <c r="B63" s="154" t="s">
        <v>53</v>
      </c>
      <c r="C63" s="155"/>
      <c r="D63" s="178" t="s">
        <v>54</v>
      </c>
      <c r="E63" s="157">
        <f t="shared" si="36"/>
        <v>0</v>
      </c>
      <c r="F63" s="157">
        <f t="shared" si="36"/>
        <v>0</v>
      </c>
      <c r="G63" s="157">
        <f t="shared" si="36"/>
        <v>3000</v>
      </c>
      <c r="H63" s="157">
        <f t="shared" si="36"/>
        <v>3000</v>
      </c>
      <c r="I63" s="157">
        <f t="shared" si="36"/>
        <v>3000</v>
      </c>
      <c r="J63" s="157">
        <f t="shared" si="36"/>
        <v>3000</v>
      </c>
    </row>
    <row r="64" spans="1:10" s="130" customFormat="1" x14ac:dyDescent="0.25">
      <c r="A64" s="131"/>
      <c r="B64" s="154" t="s">
        <v>55</v>
      </c>
      <c r="C64" s="155"/>
      <c r="D64" s="178" t="s">
        <v>54</v>
      </c>
      <c r="E64" s="157">
        <f t="shared" si="36"/>
        <v>0</v>
      </c>
      <c r="F64" s="157">
        <f t="shared" si="36"/>
        <v>0</v>
      </c>
      <c r="G64" s="157">
        <f t="shared" si="36"/>
        <v>3000</v>
      </c>
      <c r="H64" s="157">
        <f t="shared" si="36"/>
        <v>3000</v>
      </c>
      <c r="I64" s="157">
        <f t="shared" si="36"/>
        <v>3000</v>
      </c>
      <c r="J64" s="157">
        <f t="shared" si="36"/>
        <v>3000</v>
      </c>
    </row>
    <row r="65" spans="1:10" s="130" customFormat="1" x14ac:dyDescent="0.25">
      <c r="A65" s="131"/>
      <c r="B65" s="158" t="s">
        <v>476</v>
      </c>
      <c r="C65" s="177"/>
      <c r="D65" s="179" t="s">
        <v>54</v>
      </c>
      <c r="E65" s="160">
        <v>0</v>
      </c>
      <c r="F65" s="160">
        <v>0</v>
      </c>
      <c r="G65" s="160">
        <v>3000</v>
      </c>
      <c r="H65" s="160">
        <v>3000</v>
      </c>
      <c r="I65" s="160">
        <v>3000</v>
      </c>
      <c r="J65" s="161">
        <v>3000</v>
      </c>
    </row>
    <row r="66" spans="1:10" s="148" customFormat="1" x14ac:dyDescent="0.25">
      <c r="A66" s="144"/>
      <c r="B66" s="166"/>
      <c r="C66" s="473">
        <v>43</v>
      </c>
      <c r="D66" s="146" t="s">
        <v>56</v>
      </c>
      <c r="E66" s="147">
        <f t="shared" ref="E66:J66" si="37">SUM(E45,E49,E55,E62)</f>
        <v>0</v>
      </c>
      <c r="F66" s="147">
        <f t="shared" si="37"/>
        <v>0</v>
      </c>
      <c r="G66" s="147">
        <f t="shared" si="37"/>
        <v>21155049.899999999</v>
      </c>
      <c r="H66" s="147">
        <f t="shared" si="37"/>
        <v>21155049.899999999</v>
      </c>
      <c r="I66" s="147">
        <f t="shared" si="37"/>
        <v>21912926.350000001</v>
      </c>
      <c r="J66" s="147">
        <f t="shared" si="37"/>
        <v>22405180.199999999</v>
      </c>
    </row>
    <row r="67" spans="1:10" s="148" customFormat="1" x14ac:dyDescent="0.25">
      <c r="A67" s="144"/>
      <c r="B67" s="166"/>
      <c r="C67" s="473">
        <v>4</v>
      </c>
      <c r="D67" s="146" t="s">
        <v>710</v>
      </c>
      <c r="E67" s="147"/>
      <c r="F67" s="147"/>
      <c r="G67" s="147">
        <f>G66</f>
        <v>21155049.899999999</v>
      </c>
      <c r="H67" s="147">
        <f>H66</f>
        <v>21155049.899999999</v>
      </c>
      <c r="I67" s="147">
        <f t="shared" ref="I67:J67" si="38">I66</f>
        <v>21912926.350000001</v>
      </c>
      <c r="J67" s="147">
        <f t="shared" si="38"/>
        <v>22405180.199999999</v>
      </c>
    </row>
    <row r="68" spans="1:10" s="117" customFormat="1" x14ac:dyDescent="0.25">
      <c r="A68" s="149"/>
      <c r="B68" s="132">
        <v>63</v>
      </c>
      <c r="C68" s="133"/>
      <c r="D68" s="134" t="s">
        <v>16</v>
      </c>
      <c r="E68" s="135" t="e">
        <f>SUM(E69,E73,E76,E92,E81)</f>
        <v>#REF!</v>
      </c>
      <c r="F68" s="135" t="e">
        <f>SUM(F69,F73,F76,F92,F81)</f>
        <v>#REF!</v>
      </c>
      <c r="G68" s="135">
        <f>SUM(G69,G73,G76,G81)</f>
        <v>582814.61</v>
      </c>
      <c r="H68" s="135">
        <f>SUM(H69,H73,H76,H81)</f>
        <v>582814.61</v>
      </c>
      <c r="I68" s="135">
        <f t="shared" ref="I68:J68" si="39">SUM(I69,I73,I76,I81)</f>
        <v>568814.61</v>
      </c>
      <c r="J68" s="135">
        <f t="shared" si="39"/>
        <v>568814.61</v>
      </c>
    </row>
    <row r="69" spans="1:10" s="117" customFormat="1" x14ac:dyDescent="0.25">
      <c r="A69" s="149"/>
      <c r="B69" s="150" t="s">
        <v>17</v>
      </c>
      <c r="C69" s="151"/>
      <c r="D69" s="152" t="s">
        <v>18</v>
      </c>
      <c r="E69" s="153">
        <f t="shared" ref="E69:J70" si="40">E70</f>
        <v>0</v>
      </c>
      <c r="F69" s="153">
        <f t="shared" si="40"/>
        <v>0</v>
      </c>
      <c r="G69" s="153">
        <f t="shared" si="40"/>
        <v>500</v>
      </c>
      <c r="H69" s="153">
        <f t="shared" si="40"/>
        <v>500</v>
      </c>
      <c r="I69" s="153">
        <f t="shared" si="40"/>
        <v>500</v>
      </c>
      <c r="J69" s="153">
        <f t="shared" si="40"/>
        <v>500</v>
      </c>
    </row>
    <row r="70" spans="1:10" s="117" customFormat="1" x14ac:dyDescent="0.25">
      <c r="A70" s="131"/>
      <c r="B70" s="150" t="s">
        <v>19</v>
      </c>
      <c r="C70" s="151"/>
      <c r="D70" s="152" t="s">
        <v>20</v>
      </c>
      <c r="E70" s="153">
        <f>E71</f>
        <v>0</v>
      </c>
      <c r="F70" s="153">
        <f t="shared" si="40"/>
        <v>0</v>
      </c>
      <c r="G70" s="153">
        <f t="shared" si="40"/>
        <v>500</v>
      </c>
      <c r="H70" s="153">
        <f t="shared" si="40"/>
        <v>500</v>
      </c>
      <c r="I70" s="153">
        <f t="shared" si="40"/>
        <v>500</v>
      </c>
      <c r="J70" s="153">
        <f t="shared" si="40"/>
        <v>500</v>
      </c>
    </row>
    <row r="71" spans="1:10" s="117" customFormat="1" x14ac:dyDescent="0.25">
      <c r="A71" s="131"/>
      <c r="B71" s="214" t="s">
        <v>573</v>
      </c>
      <c r="C71" s="441"/>
      <c r="D71" s="182" t="s">
        <v>574</v>
      </c>
      <c r="E71" s="161">
        <v>0</v>
      </c>
      <c r="F71" s="161"/>
      <c r="G71" s="161">
        <v>500</v>
      </c>
      <c r="H71" s="161">
        <v>500</v>
      </c>
      <c r="I71" s="161">
        <v>500</v>
      </c>
      <c r="J71" s="161">
        <v>500</v>
      </c>
    </row>
    <row r="72" spans="1:10" s="117" customFormat="1" hidden="1" x14ac:dyDescent="0.25">
      <c r="A72" s="131"/>
      <c r="B72" s="150" t="s">
        <v>21</v>
      </c>
      <c r="C72" s="151"/>
      <c r="D72" s="152" t="s">
        <v>22</v>
      </c>
      <c r="E72" s="153"/>
      <c r="F72" s="153"/>
      <c r="G72" s="153"/>
      <c r="H72" s="153"/>
      <c r="I72" s="153"/>
      <c r="J72" s="153"/>
    </row>
    <row r="73" spans="1:10" s="130" customFormat="1" x14ac:dyDescent="0.25">
      <c r="A73" s="149"/>
      <c r="B73" s="154" t="s">
        <v>23</v>
      </c>
      <c r="C73" s="155"/>
      <c r="D73" s="156" t="s">
        <v>24</v>
      </c>
      <c r="E73" s="157">
        <f t="shared" ref="E73:J74" si="41">SUM(E74)</f>
        <v>0</v>
      </c>
      <c r="F73" s="157">
        <f t="shared" si="41"/>
        <v>0</v>
      </c>
      <c r="G73" s="157">
        <f t="shared" si="41"/>
        <v>68314.61</v>
      </c>
      <c r="H73" s="157">
        <f t="shared" si="41"/>
        <v>68314.61</v>
      </c>
      <c r="I73" s="157">
        <f t="shared" si="41"/>
        <v>68314.61</v>
      </c>
      <c r="J73" s="157">
        <f t="shared" si="41"/>
        <v>68314.61</v>
      </c>
    </row>
    <row r="74" spans="1:10" s="130" customFormat="1" x14ac:dyDescent="0.25">
      <c r="A74" s="149"/>
      <c r="B74" s="154" t="s">
        <v>25</v>
      </c>
      <c r="C74" s="149"/>
      <c r="D74" s="156" t="s">
        <v>26</v>
      </c>
      <c r="E74" s="157">
        <f t="shared" si="41"/>
        <v>0</v>
      </c>
      <c r="F74" s="157">
        <f t="shared" si="41"/>
        <v>0</v>
      </c>
      <c r="G74" s="157">
        <f t="shared" si="41"/>
        <v>68314.61</v>
      </c>
      <c r="H74" s="157">
        <f t="shared" si="41"/>
        <v>68314.61</v>
      </c>
      <c r="I74" s="157">
        <f t="shared" si="41"/>
        <v>68314.61</v>
      </c>
      <c r="J74" s="157">
        <f t="shared" si="41"/>
        <v>68314.61</v>
      </c>
    </row>
    <row r="75" spans="1:10" s="117" customFormat="1" x14ac:dyDescent="0.25">
      <c r="A75" s="131"/>
      <c r="B75" s="158" t="s">
        <v>473</v>
      </c>
      <c r="C75" s="131"/>
      <c r="D75" s="159" t="s">
        <v>26</v>
      </c>
      <c r="E75" s="160">
        <v>0</v>
      </c>
      <c r="F75" s="160">
        <v>0</v>
      </c>
      <c r="G75" s="160">
        <v>68314.61</v>
      </c>
      <c r="H75" s="160">
        <v>68314.61</v>
      </c>
      <c r="I75" s="160">
        <v>68314.61</v>
      </c>
      <c r="J75" s="161">
        <v>68314.61</v>
      </c>
    </row>
    <row r="76" spans="1:10" s="117" customFormat="1" ht="31.5" x14ac:dyDescent="0.25">
      <c r="A76" s="131"/>
      <c r="B76" s="154" t="s">
        <v>27</v>
      </c>
      <c r="C76" s="149"/>
      <c r="D76" s="156" t="s">
        <v>28</v>
      </c>
      <c r="E76" s="157">
        <f>SUM(E77,E79)</f>
        <v>0</v>
      </c>
      <c r="F76" s="157">
        <f t="shared" ref="F76:J76" si="42">SUM(F77,F79)</f>
        <v>0</v>
      </c>
      <c r="G76" s="157">
        <f t="shared" ref="G76" si="43">SUM(G77,G79)</f>
        <v>14000</v>
      </c>
      <c r="H76" s="157">
        <f t="shared" si="42"/>
        <v>14000</v>
      </c>
      <c r="I76" s="157">
        <f t="shared" si="42"/>
        <v>0</v>
      </c>
      <c r="J76" s="157">
        <f t="shared" si="42"/>
        <v>0</v>
      </c>
    </row>
    <row r="77" spans="1:10" s="117" customFormat="1" ht="31.5" x14ac:dyDescent="0.25">
      <c r="A77" s="131"/>
      <c r="B77" s="154" t="s">
        <v>29</v>
      </c>
      <c r="C77" s="149"/>
      <c r="D77" s="156" t="s">
        <v>30</v>
      </c>
      <c r="E77" s="157">
        <f t="shared" ref="E77:J77" si="44">SUM(E78)</f>
        <v>0</v>
      </c>
      <c r="F77" s="157">
        <f t="shared" si="44"/>
        <v>0</v>
      </c>
      <c r="G77" s="157">
        <f t="shared" si="44"/>
        <v>14000</v>
      </c>
      <c r="H77" s="157">
        <f t="shared" si="44"/>
        <v>14000</v>
      </c>
      <c r="I77" s="157">
        <f t="shared" si="44"/>
        <v>0</v>
      </c>
      <c r="J77" s="157">
        <f t="shared" si="44"/>
        <v>0</v>
      </c>
    </row>
    <row r="78" spans="1:10" s="117" customFormat="1" ht="31.5" x14ac:dyDescent="0.25">
      <c r="A78" s="131"/>
      <c r="B78" s="158" t="s">
        <v>474</v>
      </c>
      <c r="C78" s="131"/>
      <c r="D78" s="159" t="s">
        <v>30</v>
      </c>
      <c r="E78" s="160">
        <v>0</v>
      </c>
      <c r="F78" s="160">
        <v>0</v>
      </c>
      <c r="G78" s="160">
        <v>14000</v>
      </c>
      <c r="H78" s="160">
        <v>14000</v>
      </c>
      <c r="I78" s="160">
        <v>0</v>
      </c>
      <c r="J78" s="161">
        <v>0</v>
      </c>
    </row>
    <row r="79" spans="1:10" s="130" customFormat="1" ht="31.5" hidden="1" x14ac:dyDescent="0.25">
      <c r="A79" s="149"/>
      <c r="B79" s="154" t="s">
        <v>575</v>
      </c>
      <c r="C79" s="149"/>
      <c r="D79" s="156" t="s">
        <v>577</v>
      </c>
      <c r="E79" s="157">
        <f>E80</f>
        <v>0</v>
      </c>
      <c r="F79" s="157">
        <f t="shared" ref="F79:J79" si="45">F80</f>
        <v>0</v>
      </c>
      <c r="G79" s="157"/>
      <c r="H79" s="157">
        <f t="shared" si="45"/>
        <v>0</v>
      </c>
      <c r="I79" s="157">
        <f t="shared" si="45"/>
        <v>0</v>
      </c>
      <c r="J79" s="157">
        <f t="shared" si="45"/>
        <v>0</v>
      </c>
    </row>
    <row r="80" spans="1:10" s="117" customFormat="1" ht="31.5" hidden="1" x14ac:dyDescent="0.25">
      <c r="A80" s="131"/>
      <c r="B80" s="158" t="s">
        <v>576</v>
      </c>
      <c r="C80" s="131"/>
      <c r="D80" s="159" t="s">
        <v>577</v>
      </c>
      <c r="E80" s="160">
        <v>0</v>
      </c>
      <c r="F80" s="160">
        <v>0</v>
      </c>
      <c r="G80" s="160"/>
      <c r="H80" s="160"/>
      <c r="I80" s="160"/>
      <c r="J80" s="161"/>
    </row>
    <row r="81" spans="1:10" s="117" customFormat="1" ht="15.75" customHeight="1" x14ac:dyDescent="0.25">
      <c r="A81" s="131"/>
      <c r="B81" s="154" t="s">
        <v>37</v>
      </c>
      <c r="C81" s="188"/>
      <c r="D81" s="156" t="s">
        <v>38</v>
      </c>
      <c r="E81" s="157">
        <f t="shared" ref="E81:J82" si="46">E82</f>
        <v>0</v>
      </c>
      <c r="F81" s="157">
        <f t="shared" si="46"/>
        <v>0</v>
      </c>
      <c r="G81" s="157">
        <f>G82</f>
        <v>500000</v>
      </c>
      <c r="H81" s="157">
        <f>H82</f>
        <v>500000</v>
      </c>
      <c r="I81" s="157">
        <f>I82</f>
        <v>500000</v>
      </c>
      <c r="J81" s="157">
        <f>J82</f>
        <v>500000</v>
      </c>
    </row>
    <row r="82" spans="1:10" s="117" customFormat="1" ht="15.75" customHeight="1" x14ac:dyDescent="0.25">
      <c r="A82" s="131"/>
      <c r="B82" s="154" t="s">
        <v>39</v>
      </c>
      <c r="C82" s="188"/>
      <c r="D82" s="156" t="s">
        <v>40</v>
      </c>
      <c r="E82" s="157">
        <f>E83</f>
        <v>0</v>
      </c>
      <c r="F82" s="157">
        <f t="shared" si="46"/>
        <v>0</v>
      </c>
      <c r="G82" s="157">
        <f t="shared" si="46"/>
        <v>500000</v>
      </c>
      <c r="H82" s="157">
        <f t="shared" si="46"/>
        <v>500000</v>
      </c>
      <c r="I82" s="157">
        <f t="shared" si="46"/>
        <v>500000</v>
      </c>
      <c r="J82" s="157">
        <f t="shared" si="46"/>
        <v>500000</v>
      </c>
    </row>
    <row r="83" spans="1:10" s="117" customFormat="1" ht="15.75" customHeight="1" x14ac:dyDescent="0.25">
      <c r="A83" s="131"/>
      <c r="B83" s="158" t="s">
        <v>647</v>
      </c>
      <c r="C83" s="131"/>
      <c r="D83" s="159" t="s">
        <v>40</v>
      </c>
      <c r="E83" s="160"/>
      <c r="F83" s="160"/>
      <c r="G83" s="160">
        <v>500000</v>
      </c>
      <c r="H83" s="160">
        <v>500000</v>
      </c>
      <c r="I83" s="160">
        <v>500000</v>
      </c>
      <c r="J83" s="161">
        <v>500000</v>
      </c>
    </row>
    <row r="84" spans="1:10" s="117" customFormat="1" x14ac:dyDescent="0.25">
      <c r="A84" s="131"/>
      <c r="B84" s="145"/>
      <c r="C84" s="473">
        <v>52</v>
      </c>
      <c r="D84" s="146" t="s">
        <v>715</v>
      </c>
      <c r="E84" s="147" t="e">
        <f t="shared" ref="E84:J84" si="47">SUM(E68)</f>
        <v>#REF!</v>
      </c>
      <c r="F84" s="147" t="e">
        <f t="shared" si="47"/>
        <v>#REF!</v>
      </c>
      <c r="G84" s="147">
        <f t="shared" si="47"/>
        <v>582814.61</v>
      </c>
      <c r="H84" s="147">
        <f t="shared" si="47"/>
        <v>582814.61</v>
      </c>
      <c r="I84" s="147">
        <f t="shared" si="47"/>
        <v>568814.61</v>
      </c>
      <c r="J84" s="147">
        <f t="shared" si="47"/>
        <v>568814.61</v>
      </c>
    </row>
    <row r="85" spans="1:10" s="117" customFormat="1" x14ac:dyDescent="0.25">
      <c r="A85" s="131"/>
      <c r="B85" s="132">
        <v>63</v>
      </c>
      <c r="C85" s="133"/>
      <c r="D85" s="134" t="s">
        <v>16</v>
      </c>
      <c r="E85" s="135" t="e">
        <f>SUM(E86,E90,E93,E104,#REF!)</f>
        <v>#REF!</v>
      </c>
      <c r="F85" s="135" t="e">
        <f>SUM(F86,F90,F93,F104,#REF!)</f>
        <v>#REF!</v>
      </c>
      <c r="G85" s="135">
        <f t="shared" ref="G85:H87" si="48">G86</f>
        <v>156200</v>
      </c>
      <c r="H85" s="135">
        <f t="shared" si="48"/>
        <v>156200</v>
      </c>
      <c r="I85" s="135">
        <f t="shared" ref="I85:J85" si="49">I86</f>
        <v>159324</v>
      </c>
      <c r="J85" s="135">
        <f t="shared" si="49"/>
        <v>162510.48000000001</v>
      </c>
    </row>
    <row r="86" spans="1:10" s="117" customFormat="1" x14ac:dyDescent="0.25">
      <c r="A86" s="131"/>
      <c r="B86" s="154" t="s">
        <v>31</v>
      </c>
      <c r="C86" s="149"/>
      <c r="D86" s="156" t="s">
        <v>32</v>
      </c>
      <c r="E86" s="157" t="e">
        <f>SUM(E87,E94)</f>
        <v>#REF!</v>
      </c>
      <c r="F86" s="157" t="e">
        <f>SUM(F87,F94)</f>
        <v>#REF!</v>
      </c>
      <c r="G86" s="157">
        <f t="shared" si="48"/>
        <v>156200</v>
      </c>
      <c r="H86" s="157">
        <f t="shared" si="48"/>
        <v>156200</v>
      </c>
      <c r="I86" s="157">
        <f t="shared" ref="I86:J87" si="50">I87</f>
        <v>159324</v>
      </c>
      <c r="J86" s="157">
        <f t="shared" ref="J86" si="51">J87</f>
        <v>162510.48000000001</v>
      </c>
    </row>
    <row r="87" spans="1:10" s="117" customFormat="1" x14ac:dyDescent="0.25">
      <c r="A87" s="131"/>
      <c r="B87" s="154" t="s">
        <v>35</v>
      </c>
      <c r="C87" s="188"/>
      <c r="D87" s="156" t="s">
        <v>36</v>
      </c>
      <c r="E87" s="157" t="e">
        <f>E88+#REF!</f>
        <v>#REF!</v>
      </c>
      <c r="F87" s="157" t="e">
        <f>F88+#REF!</f>
        <v>#REF!</v>
      </c>
      <c r="G87" s="157">
        <f t="shared" si="48"/>
        <v>156200</v>
      </c>
      <c r="H87" s="157">
        <f t="shared" si="48"/>
        <v>156200</v>
      </c>
      <c r="I87" s="157">
        <f t="shared" si="50"/>
        <v>159324</v>
      </c>
      <c r="J87" s="157">
        <f t="shared" si="50"/>
        <v>162510.48000000001</v>
      </c>
    </row>
    <row r="88" spans="1:10" s="117" customFormat="1" x14ac:dyDescent="0.25">
      <c r="A88" s="131"/>
      <c r="B88" s="158" t="s">
        <v>651</v>
      </c>
      <c r="C88" s="213"/>
      <c r="D88" s="159" t="s">
        <v>652</v>
      </c>
      <c r="E88" s="160"/>
      <c r="F88" s="160"/>
      <c r="G88" s="160">
        <v>156200</v>
      </c>
      <c r="H88" s="160">
        <v>156200</v>
      </c>
      <c r="I88" s="160">
        <v>159324</v>
      </c>
      <c r="J88" s="161">
        <v>162510.48000000001</v>
      </c>
    </row>
    <row r="89" spans="1:10" s="117" customFormat="1" x14ac:dyDescent="0.25">
      <c r="A89" s="131"/>
      <c r="B89" s="145"/>
      <c r="C89" s="241" t="s">
        <v>679</v>
      </c>
      <c r="D89" s="242" t="s">
        <v>703</v>
      </c>
      <c r="E89" s="147"/>
      <c r="F89" s="147"/>
      <c r="G89" s="147">
        <f>G85</f>
        <v>156200</v>
      </c>
      <c r="H89" s="147">
        <f>H85</f>
        <v>156200</v>
      </c>
      <c r="I89" s="147">
        <f t="shared" ref="I89:J89" si="52">I85</f>
        <v>159324</v>
      </c>
      <c r="J89" s="147">
        <f t="shared" si="52"/>
        <v>162510.48000000001</v>
      </c>
    </row>
    <row r="90" spans="1:10" s="117" customFormat="1" x14ac:dyDescent="0.25">
      <c r="A90" s="131"/>
      <c r="B90" s="145"/>
      <c r="C90" s="241" t="s">
        <v>697</v>
      </c>
      <c r="D90" s="242" t="s">
        <v>698</v>
      </c>
      <c r="E90" s="147"/>
      <c r="F90" s="147"/>
      <c r="G90" s="147">
        <f>G89</f>
        <v>156200</v>
      </c>
      <c r="H90" s="147">
        <f>H89</f>
        <v>156200</v>
      </c>
      <c r="I90" s="147">
        <f t="shared" ref="I90:J90" si="53">I89</f>
        <v>159324</v>
      </c>
      <c r="J90" s="147">
        <f t="shared" si="53"/>
        <v>162510.48000000001</v>
      </c>
    </row>
    <row r="91" spans="1:10" s="117" customFormat="1" x14ac:dyDescent="0.25">
      <c r="A91" s="131"/>
      <c r="B91" s="132">
        <v>63</v>
      </c>
      <c r="C91" s="133"/>
      <c r="D91" s="134" t="s">
        <v>16</v>
      </c>
      <c r="E91" s="135" t="e">
        <f>SUM(E92,E96,#REF!,E111,E99)</f>
        <v>#REF!</v>
      </c>
      <c r="F91" s="135" t="e">
        <f>SUM(F92,F96,#REF!,F111,F99)</f>
        <v>#REF!</v>
      </c>
      <c r="G91" s="135">
        <f>G92</f>
        <v>437409.22</v>
      </c>
      <c r="H91" s="135">
        <f>H92</f>
        <v>437409.22</v>
      </c>
      <c r="I91" s="135">
        <f t="shared" ref="I91:J92" si="54">I92</f>
        <v>319785.88</v>
      </c>
      <c r="J91" s="135">
        <f t="shared" si="54"/>
        <v>262923.40000000002</v>
      </c>
    </row>
    <row r="92" spans="1:10" s="117" customFormat="1" x14ac:dyDescent="0.25">
      <c r="A92" s="131"/>
      <c r="B92" s="154" t="s">
        <v>31</v>
      </c>
      <c r="C92" s="149"/>
      <c r="D92" s="156" t="s">
        <v>32</v>
      </c>
      <c r="E92" s="157" t="e">
        <f>SUM(E93,#REF!)</f>
        <v>#REF!</v>
      </c>
      <c r="F92" s="157" t="e">
        <f>SUM(F93,#REF!)</f>
        <v>#REF!</v>
      </c>
      <c r="G92" s="157">
        <f>G93</f>
        <v>437409.22</v>
      </c>
      <c r="H92" s="157">
        <f>H93</f>
        <v>437409.22</v>
      </c>
      <c r="I92" s="157">
        <f t="shared" si="54"/>
        <v>319785.88</v>
      </c>
      <c r="J92" s="157">
        <f t="shared" si="54"/>
        <v>262923.40000000002</v>
      </c>
    </row>
    <row r="93" spans="1:10" s="117" customFormat="1" x14ac:dyDescent="0.25">
      <c r="A93" s="131"/>
      <c r="B93" s="154" t="s">
        <v>33</v>
      </c>
      <c r="C93" s="188"/>
      <c r="D93" s="156" t="s">
        <v>34</v>
      </c>
      <c r="E93" s="157">
        <f t="shared" ref="E93:J93" si="55">SUM(E94:E94)</f>
        <v>0</v>
      </c>
      <c r="F93" s="157">
        <f t="shared" si="55"/>
        <v>0</v>
      </c>
      <c r="G93" s="157">
        <f t="shared" si="55"/>
        <v>437409.22</v>
      </c>
      <c r="H93" s="157">
        <f t="shared" si="55"/>
        <v>437409.22</v>
      </c>
      <c r="I93" s="157">
        <f t="shared" si="55"/>
        <v>319785.88</v>
      </c>
      <c r="J93" s="157">
        <f t="shared" si="55"/>
        <v>262923.40000000002</v>
      </c>
    </row>
    <row r="94" spans="1:10" s="117" customFormat="1" ht="15.75" customHeight="1" x14ac:dyDescent="0.25">
      <c r="A94" s="131"/>
      <c r="B94" s="158" t="s">
        <v>645</v>
      </c>
      <c r="C94" s="213"/>
      <c r="D94" s="159" t="s">
        <v>646</v>
      </c>
      <c r="E94" s="160"/>
      <c r="F94" s="160"/>
      <c r="G94" s="160">
        <v>437409.22</v>
      </c>
      <c r="H94" s="160">
        <f>135000+148609.22+153800</f>
        <v>437409.22</v>
      </c>
      <c r="I94" s="160">
        <f>60000+102909.88+156876</f>
        <v>319785.88</v>
      </c>
      <c r="J94" s="160">
        <f>0+102909.88+160013.52</f>
        <v>262923.40000000002</v>
      </c>
    </row>
    <row r="95" spans="1:10" s="117" customFormat="1" ht="15.75" customHeight="1" x14ac:dyDescent="0.25">
      <c r="A95" s="131"/>
      <c r="B95" s="158"/>
      <c r="C95" s="241" t="s">
        <v>681</v>
      </c>
      <c r="D95" s="242" t="s">
        <v>702</v>
      </c>
      <c r="E95" s="160"/>
      <c r="F95" s="160"/>
      <c r="G95" s="147">
        <f>G91</f>
        <v>437409.22</v>
      </c>
      <c r="H95" s="147">
        <f>H91</f>
        <v>437409.22</v>
      </c>
      <c r="I95" s="147">
        <f t="shared" ref="I95:J95" si="56">I91</f>
        <v>319785.88</v>
      </c>
      <c r="J95" s="147">
        <f t="shared" si="56"/>
        <v>262923.40000000002</v>
      </c>
    </row>
    <row r="96" spans="1:10" s="117" customFormat="1" ht="15.75" customHeight="1" x14ac:dyDescent="0.25">
      <c r="A96" s="131"/>
      <c r="B96" s="158"/>
      <c r="C96" s="241" t="s">
        <v>700</v>
      </c>
      <c r="D96" s="242" t="s">
        <v>701</v>
      </c>
      <c r="E96" s="160"/>
      <c r="F96" s="160"/>
      <c r="G96" s="147">
        <f>G95</f>
        <v>437409.22</v>
      </c>
      <c r="H96" s="147">
        <f>H95</f>
        <v>437409.22</v>
      </c>
      <c r="I96" s="147">
        <f t="shared" ref="I96:J96" si="57">I95</f>
        <v>319785.88</v>
      </c>
      <c r="J96" s="147">
        <f t="shared" si="57"/>
        <v>262923.40000000002</v>
      </c>
    </row>
    <row r="97" spans="1:10" s="117" customFormat="1" x14ac:dyDescent="0.25">
      <c r="A97" s="131"/>
      <c r="B97" s="145"/>
      <c r="C97" s="473">
        <v>5</v>
      </c>
      <c r="D97" s="242" t="s">
        <v>706</v>
      </c>
      <c r="E97" s="147"/>
      <c r="F97" s="147"/>
      <c r="G97" s="147">
        <f>G84+G90+G96</f>
        <v>1176423.83</v>
      </c>
      <c r="H97" s="147">
        <f t="shared" ref="H97:J97" si="58">H84+H90+H96</f>
        <v>1176423.83</v>
      </c>
      <c r="I97" s="147">
        <f t="shared" si="58"/>
        <v>1047924.49</v>
      </c>
      <c r="J97" s="147">
        <f t="shared" si="58"/>
        <v>994248.49</v>
      </c>
    </row>
    <row r="98" spans="1:10" s="117" customFormat="1" ht="31.5" x14ac:dyDescent="0.25">
      <c r="A98" s="149"/>
      <c r="B98" s="132">
        <v>66</v>
      </c>
      <c r="C98" s="133"/>
      <c r="D98" s="134" t="s">
        <v>59</v>
      </c>
      <c r="E98" s="165">
        <f t="shared" ref="E98:J98" si="59">E99</f>
        <v>0</v>
      </c>
      <c r="F98" s="165">
        <f t="shared" si="59"/>
        <v>0</v>
      </c>
      <c r="G98" s="165">
        <f t="shared" si="59"/>
        <v>2000</v>
      </c>
      <c r="H98" s="165">
        <f t="shared" si="59"/>
        <v>2000</v>
      </c>
      <c r="I98" s="165">
        <f t="shared" si="59"/>
        <v>2220</v>
      </c>
      <c r="J98" s="165">
        <f t="shared" si="59"/>
        <v>2440.4</v>
      </c>
    </row>
    <row r="99" spans="1:10" s="189" customFormat="1" ht="31.5" x14ac:dyDescent="0.25">
      <c r="A99" s="188"/>
      <c r="B99" s="166">
        <v>663</v>
      </c>
      <c r="C99" s="167"/>
      <c r="D99" s="152" t="s">
        <v>68</v>
      </c>
      <c r="E99" s="153">
        <f t="shared" ref="E99" si="60">SUM(E100,E103)</f>
        <v>0</v>
      </c>
      <c r="F99" s="153">
        <f t="shared" ref="F99:J99" si="61">SUM(F100,F103)</f>
        <v>0</v>
      </c>
      <c r="G99" s="153">
        <f t="shared" ref="G99" si="62">SUM(G100,G103)</f>
        <v>2000</v>
      </c>
      <c r="H99" s="153">
        <f t="shared" si="61"/>
        <v>2000</v>
      </c>
      <c r="I99" s="153">
        <f t="shared" si="61"/>
        <v>2220</v>
      </c>
      <c r="J99" s="153">
        <f t="shared" si="61"/>
        <v>2440.4</v>
      </c>
    </row>
    <row r="100" spans="1:10" s="189" customFormat="1" x14ac:dyDescent="0.25">
      <c r="A100" s="188"/>
      <c r="B100" s="154" t="s">
        <v>479</v>
      </c>
      <c r="C100" s="190"/>
      <c r="D100" s="138" t="s">
        <v>69</v>
      </c>
      <c r="E100" s="153">
        <f>SUM(E101:E102)</f>
        <v>0</v>
      </c>
      <c r="F100" s="153">
        <f t="shared" ref="F100:J100" si="63">SUM(F101:F102)</f>
        <v>0</v>
      </c>
      <c r="G100" s="153">
        <f t="shared" ref="G100" si="64">SUM(G101:G102)</f>
        <v>1500</v>
      </c>
      <c r="H100" s="153">
        <f t="shared" si="63"/>
        <v>1500</v>
      </c>
      <c r="I100" s="153">
        <f t="shared" si="63"/>
        <v>1720</v>
      </c>
      <c r="J100" s="153">
        <f t="shared" si="63"/>
        <v>1940.4</v>
      </c>
    </row>
    <row r="101" spans="1:10" s="189" customFormat="1" x14ac:dyDescent="0.25">
      <c r="A101" s="213"/>
      <c r="B101" s="158" t="s">
        <v>660</v>
      </c>
      <c r="C101" s="191"/>
      <c r="D101" s="142" t="s">
        <v>663</v>
      </c>
      <c r="E101" s="161">
        <v>0</v>
      </c>
      <c r="F101" s="161">
        <v>0</v>
      </c>
      <c r="G101" s="161">
        <v>500</v>
      </c>
      <c r="H101" s="161">
        <v>500</v>
      </c>
      <c r="I101" s="161">
        <v>520</v>
      </c>
      <c r="J101" s="161">
        <v>540.4</v>
      </c>
    </row>
    <row r="102" spans="1:10" s="189" customFormat="1" x14ac:dyDescent="0.25">
      <c r="A102" s="213"/>
      <c r="B102" s="158" t="s">
        <v>478</v>
      </c>
      <c r="C102" s="191"/>
      <c r="D102" s="142" t="s">
        <v>69</v>
      </c>
      <c r="E102" s="161">
        <v>0</v>
      </c>
      <c r="F102" s="161">
        <v>0</v>
      </c>
      <c r="G102" s="161">
        <v>1000</v>
      </c>
      <c r="H102" s="161">
        <v>1000</v>
      </c>
      <c r="I102" s="161">
        <v>1200</v>
      </c>
      <c r="J102" s="161">
        <v>1400</v>
      </c>
    </row>
    <row r="103" spans="1:10" s="129" customFormat="1" x14ac:dyDescent="0.25">
      <c r="A103" s="192"/>
      <c r="B103" s="154" t="s">
        <v>70</v>
      </c>
      <c r="C103" s="190"/>
      <c r="D103" s="138" t="s">
        <v>71</v>
      </c>
      <c r="E103" s="139">
        <f>E104</f>
        <v>0</v>
      </c>
      <c r="F103" s="139">
        <f t="shared" ref="F103:J103" si="65">F104</f>
        <v>0</v>
      </c>
      <c r="G103" s="139">
        <f t="shared" si="65"/>
        <v>500</v>
      </c>
      <c r="H103" s="139">
        <f t="shared" si="65"/>
        <v>500</v>
      </c>
      <c r="I103" s="139">
        <f t="shared" si="65"/>
        <v>500</v>
      </c>
      <c r="J103" s="139">
        <f t="shared" si="65"/>
        <v>500</v>
      </c>
    </row>
    <row r="104" spans="1:10" x14ac:dyDescent="0.25">
      <c r="A104" s="192"/>
      <c r="B104" s="158" t="s">
        <v>661</v>
      </c>
      <c r="C104" s="191"/>
      <c r="D104" s="142" t="s">
        <v>662</v>
      </c>
      <c r="E104" s="143">
        <v>0</v>
      </c>
      <c r="F104" s="143">
        <v>0</v>
      </c>
      <c r="G104" s="143">
        <v>500</v>
      </c>
      <c r="H104" s="143">
        <v>500</v>
      </c>
      <c r="I104" s="143">
        <v>500</v>
      </c>
      <c r="J104" s="161">
        <v>500</v>
      </c>
    </row>
    <row r="105" spans="1:10" s="130" customFormat="1" x14ac:dyDescent="0.25">
      <c r="A105" s="149"/>
      <c r="B105" s="193"/>
      <c r="C105" s="473" t="s">
        <v>72</v>
      </c>
      <c r="D105" s="146" t="s">
        <v>73</v>
      </c>
      <c r="E105" s="147">
        <f t="shared" ref="E105" si="66">SUM(E98)</f>
        <v>0</v>
      </c>
      <c r="F105" s="147">
        <f t="shared" ref="F105:J105" si="67">SUM(F98)</f>
        <v>0</v>
      </c>
      <c r="G105" s="147">
        <f t="shared" ref="G105" si="68">SUM(G98)</f>
        <v>2000</v>
      </c>
      <c r="H105" s="147">
        <f t="shared" si="67"/>
        <v>2000</v>
      </c>
      <c r="I105" s="147">
        <f t="shared" si="67"/>
        <v>2220</v>
      </c>
      <c r="J105" s="147">
        <f t="shared" si="67"/>
        <v>2440.4</v>
      </c>
    </row>
    <row r="106" spans="1:10" s="130" customFormat="1" x14ac:dyDescent="0.25">
      <c r="A106" s="149"/>
      <c r="B106" s="193"/>
      <c r="C106" s="467" t="s">
        <v>704</v>
      </c>
      <c r="D106" s="468" t="s">
        <v>705</v>
      </c>
      <c r="E106" s="147"/>
      <c r="F106" s="147"/>
      <c r="G106" s="147">
        <f>G105</f>
        <v>2000</v>
      </c>
      <c r="H106" s="147">
        <f>H105</f>
        <v>2000</v>
      </c>
      <c r="I106" s="147">
        <f t="shared" ref="I106:J106" si="69">I105</f>
        <v>2220</v>
      </c>
      <c r="J106" s="147">
        <f t="shared" si="69"/>
        <v>2440.4</v>
      </c>
    </row>
    <row r="107" spans="1:10" s="130" customFormat="1" ht="31.5" x14ac:dyDescent="0.25">
      <c r="A107" s="149"/>
      <c r="B107" s="168">
        <v>65</v>
      </c>
      <c r="C107" s="169"/>
      <c r="D107" s="170" t="s">
        <v>45</v>
      </c>
      <c r="E107" s="319">
        <f t="shared" ref="E107:J107" si="70">SUM(E108)</f>
        <v>0</v>
      </c>
      <c r="F107" s="319">
        <f t="shared" si="70"/>
        <v>0</v>
      </c>
      <c r="G107" s="319">
        <f t="shared" si="70"/>
        <v>10500</v>
      </c>
      <c r="H107" s="319">
        <f t="shared" si="70"/>
        <v>10500</v>
      </c>
      <c r="I107" s="319">
        <f t="shared" si="70"/>
        <v>10775</v>
      </c>
      <c r="J107" s="319">
        <f t="shared" si="70"/>
        <v>11064</v>
      </c>
    </row>
    <row r="108" spans="1:10" s="130" customFormat="1" x14ac:dyDescent="0.25">
      <c r="A108" s="149"/>
      <c r="B108" s="171">
        <v>652</v>
      </c>
      <c r="C108" s="172"/>
      <c r="D108" s="173" t="s">
        <v>46</v>
      </c>
      <c r="E108" s="320">
        <f t="shared" ref="E108:J109" si="71">E109</f>
        <v>0</v>
      </c>
      <c r="F108" s="320">
        <f t="shared" si="71"/>
        <v>0</v>
      </c>
      <c r="G108" s="320">
        <f t="shared" si="71"/>
        <v>10500</v>
      </c>
      <c r="H108" s="320">
        <f t="shared" si="71"/>
        <v>10500</v>
      </c>
      <c r="I108" s="320">
        <f t="shared" si="71"/>
        <v>10775</v>
      </c>
      <c r="J108" s="320">
        <f t="shared" si="71"/>
        <v>11064</v>
      </c>
    </row>
    <row r="109" spans="1:10" s="130" customFormat="1" x14ac:dyDescent="0.25">
      <c r="A109" s="149"/>
      <c r="B109" s="171">
        <v>6526</v>
      </c>
      <c r="C109" s="172"/>
      <c r="D109" s="173" t="s">
        <v>74</v>
      </c>
      <c r="E109" s="320">
        <f t="shared" si="71"/>
        <v>0</v>
      </c>
      <c r="F109" s="320">
        <f t="shared" si="71"/>
        <v>0</v>
      </c>
      <c r="G109" s="320">
        <f t="shared" si="71"/>
        <v>10500</v>
      </c>
      <c r="H109" s="320">
        <f t="shared" si="71"/>
        <v>10500</v>
      </c>
      <c r="I109" s="320">
        <f t="shared" si="71"/>
        <v>10775</v>
      </c>
      <c r="J109" s="320">
        <f t="shared" si="71"/>
        <v>11064</v>
      </c>
    </row>
    <row r="110" spans="1:10" s="130" customFormat="1" x14ac:dyDescent="0.25">
      <c r="A110" s="149"/>
      <c r="B110" s="174">
        <v>65267</v>
      </c>
      <c r="C110" s="175"/>
      <c r="D110" s="194" t="s">
        <v>469</v>
      </c>
      <c r="E110" s="321">
        <v>0</v>
      </c>
      <c r="F110" s="321">
        <v>0</v>
      </c>
      <c r="G110" s="321">
        <v>10500</v>
      </c>
      <c r="H110" s="321">
        <v>10500</v>
      </c>
      <c r="I110" s="321">
        <v>10775</v>
      </c>
      <c r="J110" s="321">
        <v>11064</v>
      </c>
    </row>
    <row r="111" spans="1:10" s="130" customFormat="1" ht="31.5" x14ac:dyDescent="0.25">
      <c r="A111" s="149"/>
      <c r="B111" s="174"/>
      <c r="C111" s="272" t="s">
        <v>231</v>
      </c>
      <c r="D111" s="273" t="s">
        <v>708</v>
      </c>
      <c r="E111" s="147">
        <f t="shared" ref="E111:J111" si="72">SUM(E107)</f>
        <v>0</v>
      </c>
      <c r="F111" s="147">
        <f t="shared" si="72"/>
        <v>0</v>
      </c>
      <c r="G111" s="147">
        <f t="shared" ref="G111" si="73">SUM(G107)</f>
        <v>10500</v>
      </c>
      <c r="H111" s="147">
        <f t="shared" si="72"/>
        <v>10500</v>
      </c>
      <c r="I111" s="147">
        <f t="shared" si="72"/>
        <v>10775</v>
      </c>
      <c r="J111" s="147">
        <f t="shared" si="72"/>
        <v>11064</v>
      </c>
    </row>
    <row r="112" spans="1:10" s="117" customFormat="1" x14ac:dyDescent="0.25">
      <c r="A112" s="195">
        <v>7</v>
      </c>
      <c r="B112" s="195"/>
      <c r="C112" s="196"/>
      <c r="D112" s="197" t="s">
        <v>75</v>
      </c>
      <c r="E112" s="314">
        <f t="shared" ref="E112" si="74">E113+E117</f>
        <v>0</v>
      </c>
      <c r="F112" s="314">
        <f t="shared" ref="F112:J112" si="75">F113+F117</f>
        <v>0</v>
      </c>
      <c r="G112" s="314">
        <f t="shared" ref="G112" si="76">G113+G117</f>
        <v>1300</v>
      </c>
      <c r="H112" s="314">
        <f t="shared" si="75"/>
        <v>1300</v>
      </c>
      <c r="I112" s="314">
        <f t="shared" si="75"/>
        <v>0</v>
      </c>
      <c r="J112" s="314">
        <f t="shared" si="75"/>
        <v>0</v>
      </c>
    </row>
    <row r="113" spans="1:10" s="117" customFormat="1" x14ac:dyDescent="0.25">
      <c r="A113" s="149"/>
      <c r="B113" s="199">
        <v>72</v>
      </c>
      <c r="C113" s="163"/>
      <c r="D113" s="164" t="s">
        <v>76</v>
      </c>
      <c r="E113" s="315">
        <f t="shared" ref="E113:J115" si="77">E114</f>
        <v>0</v>
      </c>
      <c r="F113" s="315">
        <f t="shared" si="77"/>
        <v>0</v>
      </c>
      <c r="G113" s="315">
        <f t="shared" si="77"/>
        <v>1300</v>
      </c>
      <c r="H113" s="315">
        <f t="shared" si="77"/>
        <v>1300</v>
      </c>
      <c r="I113" s="315">
        <f t="shared" si="77"/>
        <v>0</v>
      </c>
      <c r="J113" s="315">
        <f t="shared" si="77"/>
        <v>0</v>
      </c>
    </row>
    <row r="114" spans="1:10" s="130" customFormat="1" x14ac:dyDescent="0.25">
      <c r="A114" s="149"/>
      <c r="B114" s="188">
        <v>721</v>
      </c>
      <c r="C114" s="167"/>
      <c r="D114" s="152" t="s">
        <v>77</v>
      </c>
      <c r="E114" s="316">
        <f t="shared" si="77"/>
        <v>0</v>
      </c>
      <c r="F114" s="316">
        <f t="shared" si="77"/>
        <v>0</v>
      </c>
      <c r="G114" s="316">
        <f t="shared" si="77"/>
        <v>1300</v>
      </c>
      <c r="H114" s="316">
        <f t="shared" si="77"/>
        <v>1300</v>
      </c>
      <c r="I114" s="316">
        <f t="shared" si="77"/>
        <v>0</v>
      </c>
      <c r="J114" s="316">
        <f t="shared" si="77"/>
        <v>0</v>
      </c>
    </row>
    <row r="115" spans="1:10" s="117" customFormat="1" x14ac:dyDescent="0.25">
      <c r="A115" s="149"/>
      <c r="B115" s="188">
        <v>7211</v>
      </c>
      <c r="C115" s="167"/>
      <c r="D115" s="152" t="s">
        <v>78</v>
      </c>
      <c r="E115" s="317">
        <f>E116</f>
        <v>0</v>
      </c>
      <c r="F115" s="317">
        <f t="shared" si="77"/>
        <v>0</v>
      </c>
      <c r="G115" s="317">
        <f t="shared" si="77"/>
        <v>1300</v>
      </c>
      <c r="H115" s="317">
        <f t="shared" si="77"/>
        <v>1300</v>
      </c>
      <c r="I115" s="317">
        <f t="shared" si="77"/>
        <v>0</v>
      </c>
      <c r="J115" s="317">
        <f t="shared" si="77"/>
        <v>0</v>
      </c>
    </row>
    <row r="116" spans="1:10" s="117" customFormat="1" x14ac:dyDescent="0.25">
      <c r="A116" s="455"/>
      <c r="B116" s="269">
        <v>72111</v>
      </c>
      <c r="C116" s="311"/>
      <c r="D116" s="312" t="s">
        <v>650</v>
      </c>
      <c r="E116" s="313">
        <v>0</v>
      </c>
      <c r="F116" s="313">
        <v>0</v>
      </c>
      <c r="G116" s="313">
        <v>1300</v>
      </c>
      <c r="H116" s="313">
        <v>1300</v>
      </c>
      <c r="I116" s="313">
        <v>0</v>
      </c>
      <c r="J116" s="313">
        <v>0</v>
      </c>
    </row>
    <row r="117" spans="1:10" s="130" customFormat="1" hidden="1" x14ac:dyDescent="0.25">
      <c r="A117" s="200"/>
      <c r="B117" s="201">
        <v>723</v>
      </c>
      <c r="C117" s="202"/>
      <c r="D117" s="203" t="s">
        <v>79</v>
      </c>
      <c r="E117" s="318">
        <f t="shared" ref="E117:J118" si="78">E118</f>
        <v>0</v>
      </c>
      <c r="F117" s="318">
        <f t="shared" si="78"/>
        <v>0</v>
      </c>
      <c r="G117" s="318"/>
      <c r="H117" s="318">
        <f t="shared" si="78"/>
        <v>0</v>
      </c>
      <c r="I117" s="318">
        <f t="shared" si="78"/>
        <v>0</v>
      </c>
      <c r="J117" s="318">
        <f t="shared" si="78"/>
        <v>0</v>
      </c>
    </row>
    <row r="118" spans="1:10" s="117" customFormat="1" hidden="1" x14ac:dyDescent="0.25">
      <c r="A118" s="200"/>
      <c r="B118" s="201">
        <v>7231</v>
      </c>
      <c r="C118" s="202"/>
      <c r="D118" s="203" t="s">
        <v>80</v>
      </c>
      <c r="E118" s="318">
        <f t="shared" si="78"/>
        <v>0</v>
      </c>
      <c r="F118" s="318">
        <f t="shared" si="78"/>
        <v>0</v>
      </c>
      <c r="G118" s="318"/>
      <c r="H118" s="318">
        <f t="shared" si="78"/>
        <v>0</v>
      </c>
      <c r="I118" s="318">
        <f t="shared" si="78"/>
        <v>0</v>
      </c>
      <c r="J118" s="318">
        <f t="shared" si="78"/>
        <v>0</v>
      </c>
    </row>
    <row r="119" spans="1:10" s="117" customFormat="1" hidden="1" x14ac:dyDescent="0.25">
      <c r="A119" s="200"/>
      <c r="B119" s="269">
        <v>72313</v>
      </c>
      <c r="C119" s="311"/>
      <c r="D119" s="312" t="s">
        <v>557</v>
      </c>
      <c r="E119" s="313">
        <v>0</v>
      </c>
      <c r="F119" s="313">
        <v>0</v>
      </c>
      <c r="G119" s="313"/>
      <c r="H119" s="313">
        <v>0</v>
      </c>
      <c r="I119" s="313">
        <v>0</v>
      </c>
      <c r="J119" s="313">
        <v>0</v>
      </c>
    </row>
    <row r="120" spans="1:10" s="117" customFormat="1" ht="31.5" x14ac:dyDescent="0.25">
      <c r="A120" s="200"/>
      <c r="B120" s="200"/>
      <c r="C120" s="272" t="s">
        <v>231</v>
      </c>
      <c r="D120" s="273" t="s">
        <v>708</v>
      </c>
      <c r="E120" s="204">
        <f t="shared" ref="E120:J120" si="79">SUM(E112)</f>
        <v>0</v>
      </c>
      <c r="F120" s="204">
        <f t="shared" si="79"/>
        <v>0</v>
      </c>
      <c r="G120" s="204">
        <f t="shared" ref="G120" si="80">SUM(G112)</f>
        <v>1300</v>
      </c>
      <c r="H120" s="204">
        <f t="shared" si="79"/>
        <v>1300</v>
      </c>
      <c r="I120" s="204">
        <f t="shared" si="79"/>
        <v>0</v>
      </c>
      <c r="J120" s="204">
        <f t="shared" si="79"/>
        <v>0</v>
      </c>
    </row>
    <row r="121" spans="1:10" s="117" customFormat="1" ht="31.5" customHeight="1" thickBot="1" x14ac:dyDescent="0.3">
      <c r="A121" s="200"/>
      <c r="B121" s="200"/>
      <c r="C121" s="272" t="s">
        <v>707</v>
      </c>
      <c r="D121" s="273" t="s">
        <v>709</v>
      </c>
      <c r="E121" s="204"/>
      <c r="F121" s="204"/>
      <c r="G121" s="204">
        <f>G111+G120</f>
        <v>11800</v>
      </c>
      <c r="H121" s="204">
        <f>H111+H120</f>
        <v>11800</v>
      </c>
      <c r="I121" s="204">
        <f>I111+I120</f>
        <v>10775</v>
      </c>
      <c r="J121" s="204">
        <f>J111+J120</f>
        <v>11064</v>
      </c>
    </row>
    <row r="122" spans="1:10" s="117" customFormat="1" ht="16.5" thickBot="1" x14ac:dyDescent="0.3">
      <c r="A122" s="552" t="s">
        <v>81</v>
      </c>
      <c r="B122" s="553"/>
      <c r="C122" s="553"/>
      <c r="D122" s="554"/>
      <c r="E122" s="115" t="e">
        <f t="shared" ref="E122:J122" si="81">SUM(E8,E112)</f>
        <v>#REF!</v>
      </c>
      <c r="F122" s="115" t="e">
        <f t="shared" si="81"/>
        <v>#REF!</v>
      </c>
      <c r="G122" s="115">
        <f t="shared" si="81"/>
        <v>27029768.079999998</v>
      </c>
      <c r="H122" s="115">
        <f t="shared" si="81"/>
        <v>27400996.079999998</v>
      </c>
      <c r="I122" s="115">
        <f t="shared" si="81"/>
        <v>28076192.190000001</v>
      </c>
      <c r="J122" s="115">
        <f t="shared" si="81"/>
        <v>28547127.919999998</v>
      </c>
    </row>
  </sheetData>
  <mergeCells count="6">
    <mergeCell ref="A122:D122"/>
    <mergeCell ref="A1:J1"/>
    <mergeCell ref="A2:J2"/>
    <mergeCell ref="A3:J3"/>
    <mergeCell ref="A5:J5"/>
    <mergeCell ref="A7:D7"/>
  </mergeCells>
  <pageMargins left="0.7" right="0.7" top="0.75" bottom="0.75" header="0.3" footer="0.3"/>
  <pageSetup paperSize="9" scale="7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07"/>
  <sheetViews>
    <sheetView zoomScaleNormal="100" workbookViewId="0">
      <selection activeCell="K95" sqref="K1:K1048576"/>
    </sheetView>
  </sheetViews>
  <sheetFormatPr defaultColWidth="9.140625" defaultRowHeight="15.75" x14ac:dyDescent="0.25"/>
  <cols>
    <col min="1" max="1" width="7.140625" style="116" bestFit="1" customWidth="1"/>
    <col min="2" max="2" width="8.42578125" style="116" customWidth="1"/>
    <col min="3" max="3" width="5.42578125" style="116" bestFit="1" customWidth="1"/>
    <col min="4" max="4" width="66.42578125" style="116" bestFit="1" customWidth="1"/>
    <col min="5" max="6" width="20.28515625" style="116" hidden="1" customWidth="1"/>
    <col min="7" max="7" width="18.140625" style="116" bestFit="1" customWidth="1"/>
    <col min="8" max="8" width="18.140625" style="274" bestFit="1" customWidth="1"/>
    <col min="9" max="9" width="18.85546875" style="116" hidden="1" customWidth="1"/>
    <col min="10" max="10" width="18.140625" style="116" hidden="1" customWidth="1"/>
    <col min="11" max="16384" width="9.140625" style="116"/>
  </cols>
  <sheetData>
    <row r="1" spans="1:10" ht="31.5" customHeight="1" x14ac:dyDescent="0.25">
      <c r="A1" s="555" t="s">
        <v>0</v>
      </c>
      <c r="B1" s="555"/>
      <c r="C1" s="555"/>
      <c r="D1" s="555"/>
      <c r="E1" s="555"/>
      <c r="F1" s="555"/>
      <c r="G1" s="555"/>
      <c r="H1" s="555"/>
      <c r="I1" s="555"/>
      <c r="J1" s="555"/>
    </row>
    <row r="2" spans="1:10" ht="31.5" customHeight="1" x14ac:dyDescent="0.25">
      <c r="A2" s="555" t="s">
        <v>281</v>
      </c>
      <c r="B2" s="555"/>
      <c r="C2" s="555"/>
      <c r="D2" s="555"/>
      <c r="E2" s="555"/>
      <c r="F2" s="555"/>
      <c r="G2" s="555"/>
      <c r="H2" s="555"/>
      <c r="I2" s="555"/>
      <c r="J2" s="555"/>
    </row>
    <row r="3" spans="1:10" ht="31.5" customHeight="1" x14ac:dyDescent="0.25">
      <c r="A3" s="555" t="s">
        <v>378</v>
      </c>
      <c r="B3" s="555"/>
      <c r="C3" s="555"/>
      <c r="D3" s="555"/>
      <c r="E3" s="555"/>
      <c r="F3" s="555"/>
      <c r="G3" s="555"/>
      <c r="H3" s="555"/>
      <c r="I3" s="555"/>
      <c r="J3" s="555"/>
    </row>
    <row r="4" spans="1:10" s="117" customFormat="1" x14ac:dyDescent="0.25">
      <c r="A4" s="206"/>
      <c r="B4" s="205"/>
      <c r="C4" s="205"/>
      <c r="D4" s="205"/>
      <c r="E4" s="205"/>
      <c r="F4" s="205"/>
      <c r="G4" s="205"/>
      <c r="H4" s="207"/>
      <c r="I4" s="205"/>
      <c r="J4" s="205"/>
    </row>
    <row r="5" spans="1:10" s="130" customFormat="1" ht="15.75" customHeight="1" x14ac:dyDescent="0.25">
      <c r="A5" s="559" t="s">
        <v>82</v>
      </c>
      <c r="B5" s="559"/>
      <c r="C5" s="559"/>
      <c r="D5" s="559"/>
      <c r="E5" s="559"/>
      <c r="F5" s="559"/>
      <c r="G5" s="559"/>
      <c r="H5" s="559"/>
      <c r="I5" s="559"/>
      <c r="J5" s="559"/>
    </row>
    <row r="6" spans="1:10" s="117" customFormat="1" ht="63" x14ac:dyDescent="0.25">
      <c r="A6" s="119" t="s">
        <v>3</v>
      </c>
      <c r="B6" s="119" t="s">
        <v>4</v>
      </c>
      <c r="C6" s="120" t="s">
        <v>5</v>
      </c>
      <c r="D6" s="121" t="s">
        <v>6</v>
      </c>
      <c r="E6" s="119" t="s">
        <v>552</v>
      </c>
      <c r="F6" s="119" t="s">
        <v>556</v>
      </c>
      <c r="G6" s="275" t="s">
        <v>719</v>
      </c>
      <c r="H6" s="275" t="s">
        <v>554</v>
      </c>
      <c r="I6" s="113" t="s">
        <v>555</v>
      </c>
      <c r="J6" s="114" t="s">
        <v>553</v>
      </c>
    </row>
    <row r="7" spans="1:10" s="117" customFormat="1" x14ac:dyDescent="0.25">
      <c r="A7" s="557">
        <v>1</v>
      </c>
      <c r="B7" s="557"/>
      <c r="C7" s="557"/>
      <c r="D7" s="557"/>
      <c r="E7" s="122"/>
      <c r="F7" s="122"/>
      <c r="G7" s="122"/>
      <c r="H7" s="279">
        <v>2</v>
      </c>
      <c r="I7" s="124">
        <v>3</v>
      </c>
      <c r="J7" s="124">
        <v>4</v>
      </c>
    </row>
    <row r="8" spans="1:10" s="117" customFormat="1" x14ac:dyDescent="0.25">
      <c r="A8" s="280">
        <v>3</v>
      </c>
      <c r="B8" s="280"/>
      <c r="C8" s="280"/>
      <c r="D8" s="210" t="s">
        <v>84</v>
      </c>
      <c r="E8" s="281" t="e">
        <f>E11+E246+E109+E455+E554+E584</f>
        <v>#REF!</v>
      </c>
      <c r="F8" s="281" t="e">
        <f>F11+F246+F109+F455+F554+F584</f>
        <v>#REF!</v>
      </c>
      <c r="G8" s="281">
        <f>G11+G246+G109+G455+G497+G518+G554+G584</f>
        <v>26423402.949999996</v>
      </c>
      <c r="H8" s="281">
        <f>H11+H246+H109+H455+H497+H518+H554+H584</f>
        <v>26300527.960000001</v>
      </c>
      <c r="I8" s="281">
        <f>I11+I246+I109+I455+I497+I518+I554+I584</f>
        <v>26565803.32</v>
      </c>
      <c r="J8" s="281">
        <f>J11+J246+J109+J455+J497+J518+J554+J584</f>
        <v>26806376.339999996</v>
      </c>
    </row>
    <row r="9" spans="1:10" s="117" customFormat="1" x14ac:dyDescent="0.25">
      <c r="A9" s="280">
        <v>4</v>
      </c>
      <c r="B9" s="280"/>
      <c r="C9" s="280"/>
      <c r="D9" s="282" t="s">
        <v>171</v>
      </c>
      <c r="E9" s="281" t="e">
        <f>E73+E419+E223+E490+#REF!+E571+E596</f>
        <v>#REF!</v>
      </c>
      <c r="F9" s="281" t="e">
        <f>F73+F419+F223+F490+#REF!+F571+F596</f>
        <v>#REF!</v>
      </c>
      <c r="G9" s="281">
        <f>G73+G419+G223+G490+G571+G596</f>
        <v>360772.28</v>
      </c>
      <c r="H9" s="281">
        <f t="shared" ref="H9:J9" si="0">H73+H419+H223+H490+H571+H596</f>
        <v>854875.27</v>
      </c>
      <c r="I9" s="281">
        <f t="shared" si="0"/>
        <v>857825.27</v>
      </c>
      <c r="J9" s="281">
        <f t="shared" si="0"/>
        <v>860775.27</v>
      </c>
    </row>
    <row r="10" spans="1:10" s="117" customFormat="1" x14ac:dyDescent="0.25">
      <c r="A10" s="283"/>
      <c r="B10" s="283"/>
      <c r="C10" s="283"/>
      <c r="D10" s="284" t="s">
        <v>310</v>
      </c>
      <c r="E10" s="285"/>
      <c r="F10" s="285"/>
      <c r="G10" s="285"/>
      <c r="H10" s="285"/>
      <c r="I10" s="285"/>
      <c r="J10" s="285"/>
    </row>
    <row r="11" spans="1:10" s="117" customFormat="1" x14ac:dyDescent="0.25">
      <c r="A11" s="208" t="s">
        <v>83</v>
      </c>
      <c r="B11" s="208"/>
      <c r="C11" s="209"/>
      <c r="D11" s="210" t="s">
        <v>84</v>
      </c>
      <c r="E11" s="211" t="e">
        <f t="shared" ref="E11:J11" si="1">E12+E22</f>
        <v>#REF!</v>
      </c>
      <c r="F11" s="211" t="e">
        <f t="shared" si="1"/>
        <v>#REF!</v>
      </c>
      <c r="G11" s="211">
        <f t="shared" ref="G11" si="2">G12+G22</f>
        <v>603978.02</v>
      </c>
      <c r="H11" s="211">
        <f t="shared" si="1"/>
        <v>481103.03</v>
      </c>
      <c r="I11" s="211">
        <f t="shared" si="1"/>
        <v>481103.03</v>
      </c>
      <c r="J11" s="211">
        <f t="shared" si="1"/>
        <v>481103.03</v>
      </c>
    </row>
    <row r="12" spans="1:10" s="117" customFormat="1" x14ac:dyDescent="0.25">
      <c r="A12" s="188"/>
      <c r="B12" s="132">
        <v>31</v>
      </c>
      <c r="C12" s="199"/>
      <c r="D12" s="212" t="s">
        <v>85</v>
      </c>
      <c r="E12" s="135" t="e">
        <f t="shared" ref="E12:F12" si="3">E13+E19</f>
        <v>#REF!</v>
      </c>
      <c r="F12" s="135" t="e">
        <f t="shared" si="3"/>
        <v>#REF!</v>
      </c>
      <c r="G12" s="135">
        <f>G13+G16+G19</f>
        <v>94582.35</v>
      </c>
      <c r="H12" s="135">
        <f t="shared" ref="H12:J12" si="4">H13+H16+H19</f>
        <v>6978.0199999999995</v>
      </c>
      <c r="I12" s="135">
        <f t="shared" si="4"/>
        <v>6978.0199999999995</v>
      </c>
      <c r="J12" s="135">
        <f t="shared" si="4"/>
        <v>6978.0199999999995</v>
      </c>
    </row>
    <row r="13" spans="1:10" s="130" customFormat="1" x14ac:dyDescent="0.25">
      <c r="A13" s="188"/>
      <c r="B13" s="150">
        <v>311</v>
      </c>
      <c r="C13" s="213"/>
      <c r="D13" s="188" t="s">
        <v>86</v>
      </c>
      <c r="E13" s="153" t="e">
        <f t="shared" ref="E13:J14" si="5">SUM(E14)</f>
        <v>#REF!</v>
      </c>
      <c r="F13" s="153" t="e">
        <f t="shared" si="5"/>
        <v>#REF!</v>
      </c>
      <c r="G13" s="153">
        <f t="shared" si="5"/>
        <v>5989.73</v>
      </c>
      <c r="H13" s="153">
        <f t="shared" si="5"/>
        <v>5989.73</v>
      </c>
      <c r="I13" s="153">
        <f t="shared" si="5"/>
        <v>5989.73</v>
      </c>
      <c r="J13" s="153">
        <f t="shared" si="5"/>
        <v>5989.73</v>
      </c>
    </row>
    <row r="14" spans="1:10" s="130" customFormat="1" x14ac:dyDescent="0.25">
      <c r="A14" s="188"/>
      <c r="B14" s="150">
        <v>3111</v>
      </c>
      <c r="C14" s="188"/>
      <c r="D14" s="188" t="s">
        <v>87</v>
      </c>
      <c r="E14" s="153" t="e">
        <f t="shared" si="5"/>
        <v>#REF!</v>
      </c>
      <c r="F14" s="153" t="e">
        <f t="shared" si="5"/>
        <v>#REF!</v>
      </c>
      <c r="G14" s="153">
        <f t="shared" si="5"/>
        <v>5989.73</v>
      </c>
      <c r="H14" s="153">
        <f t="shared" si="5"/>
        <v>5989.73</v>
      </c>
      <c r="I14" s="153">
        <f t="shared" si="5"/>
        <v>5989.73</v>
      </c>
      <c r="J14" s="153">
        <f t="shared" si="5"/>
        <v>5989.73</v>
      </c>
    </row>
    <row r="15" spans="1:10" s="215" customFormat="1" x14ac:dyDescent="0.25">
      <c r="A15" s="213"/>
      <c r="B15" s="214" t="s">
        <v>480</v>
      </c>
      <c r="C15" s="213"/>
      <c r="D15" s="213" t="s">
        <v>87</v>
      </c>
      <c r="E15" s="161" t="e">
        <f>'Rekapitulacija Posebni dio'!#REF!+'Rekapitulacija Posebni dio'!C518+'Rekapitulacija Posebni dio'!#REF!</f>
        <v>#REF!</v>
      </c>
      <c r="F15" s="161" t="e">
        <f>'Rekapitulacija Posebni dio'!#REF!+'Rekapitulacija Posebni dio'!D518+'Rekapitulacija Posebni dio'!#REF!</f>
        <v>#REF!</v>
      </c>
      <c r="G15" s="161">
        <f>'Rekapitulacija Posebni dio'!E518+'Rekapitulacija Posebni dio'!E537</f>
        <v>5989.73</v>
      </c>
      <c r="H15" s="161">
        <f>'Rekapitulacija Posebni dio'!F518+'Rekapitulacija Posebni dio'!F537</f>
        <v>5989.73</v>
      </c>
      <c r="I15" s="161">
        <f>'Rekapitulacija Posebni dio'!G518+'Rekapitulacija Posebni dio'!G537</f>
        <v>5989.73</v>
      </c>
      <c r="J15" s="161">
        <f>'Rekapitulacija Posebni dio'!H518+'Rekapitulacija Posebni dio'!H537</f>
        <v>5989.73</v>
      </c>
    </row>
    <row r="16" spans="1:10" s="216" customFormat="1" x14ac:dyDescent="0.25">
      <c r="A16" s="188"/>
      <c r="B16" s="150" t="s">
        <v>94</v>
      </c>
      <c r="C16" s="188"/>
      <c r="D16" s="188" t="s">
        <v>95</v>
      </c>
      <c r="E16" s="153"/>
      <c r="F16" s="153"/>
      <c r="G16" s="153">
        <f>G17</f>
        <v>6396.59</v>
      </c>
      <c r="H16" s="153">
        <f t="shared" ref="H16:J17" si="6">H17</f>
        <v>0</v>
      </c>
      <c r="I16" s="153">
        <f t="shared" si="6"/>
        <v>0</v>
      </c>
      <c r="J16" s="153">
        <f t="shared" si="6"/>
        <v>0</v>
      </c>
    </row>
    <row r="17" spans="1:10" s="216" customFormat="1" x14ac:dyDescent="0.25">
      <c r="A17" s="188"/>
      <c r="B17" s="150" t="s">
        <v>96</v>
      </c>
      <c r="C17" s="188"/>
      <c r="D17" s="188" t="s">
        <v>95</v>
      </c>
      <c r="E17" s="153"/>
      <c r="F17" s="153"/>
      <c r="G17" s="153">
        <f>G18</f>
        <v>6396.59</v>
      </c>
      <c r="H17" s="153">
        <f t="shared" si="6"/>
        <v>0</v>
      </c>
      <c r="I17" s="153">
        <f t="shared" si="6"/>
        <v>0</v>
      </c>
      <c r="J17" s="153">
        <f t="shared" si="6"/>
        <v>0</v>
      </c>
    </row>
    <row r="18" spans="1:10" s="215" customFormat="1" x14ac:dyDescent="0.25">
      <c r="A18" s="213"/>
      <c r="B18" s="214" t="s">
        <v>489</v>
      </c>
      <c r="C18" s="213"/>
      <c r="D18" s="213" t="s">
        <v>397</v>
      </c>
      <c r="E18" s="161"/>
      <c r="F18" s="161"/>
      <c r="G18" s="161">
        <f>'Rekapitulacija Posebni dio'!E438</f>
        <v>6396.59</v>
      </c>
      <c r="H18" s="161">
        <f>'Rekapitulacija Posebni dio'!F438</f>
        <v>0</v>
      </c>
      <c r="I18" s="161">
        <f>'Rekapitulacija Posebni dio'!G438</f>
        <v>0</v>
      </c>
      <c r="J18" s="161">
        <f>'Rekapitulacija Posebni dio'!H438</f>
        <v>0</v>
      </c>
    </row>
    <row r="19" spans="1:10" s="215" customFormat="1" x14ac:dyDescent="0.25">
      <c r="A19" s="188"/>
      <c r="B19" s="154">
        <v>313</v>
      </c>
      <c r="C19" s="188"/>
      <c r="D19" s="188" t="s">
        <v>97</v>
      </c>
      <c r="E19" s="217" t="e">
        <f t="shared" ref="E19:J20" si="7">SUM(E20)</f>
        <v>#REF!</v>
      </c>
      <c r="F19" s="217" t="e">
        <f t="shared" si="7"/>
        <v>#REF!</v>
      </c>
      <c r="G19" s="217">
        <f t="shared" si="7"/>
        <v>82196.03</v>
      </c>
      <c r="H19" s="217">
        <f t="shared" si="7"/>
        <v>988.29</v>
      </c>
      <c r="I19" s="217">
        <f t="shared" si="7"/>
        <v>988.29</v>
      </c>
      <c r="J19" s="217">
        <f t="shared" si="7"/>
        <v>988.29</v>
      </c>
    </row>
    <row r="20" spans="1:10" s="215" customFormat="1" x14ac:dyDescent="0.25">
      <c r="A20" s="188"/>
      <c r="B20" s="154">
        <v>3132</v>
      </c>
      <c r="C20" s="188"/>
      <c r="D20" s="188" t="s">
        <v>98</v>
      </c>
      <c r="E20" s="217" t="e">
        <f t="shared" si="7"/>
        <v>#REF!</v>
      </c>
      <c r="F20" s="217" t="e">
        <f t="shared" si="7"/>
        <v>#REF!</v>
      </c>
      <c r="G20" s="217">
        <f t="shared" si="7"/>
        <v>82196.03</v>
      </c>
      <c r="H20" s="217">
        <f t="shared" si="7"/>
        <v>988.29</v>
      </c>
      <c r="I20" s="217">
        <f t="shared" si="7"/>
        <v>988.29</v>
      </c>
      <c r="J20" s="217">
        <f t="shared" si="7"/>
        <v>988.29</v>
      </c>
    </row>
    <row r="21" spans="1:10" s="117" customFormat="1" x14ac:dyDescent="0.25">
      <c r="A21" s="213"/>
      <c r="B21" s="158" t="s">
        <v>490</v>
      </c>
      <c r="C21" s="213"/>
      <c r="D21" s="213" t="s">
        <v>98</v>
      </c>
      <c r="E21" s="161" t="e">
        <f>'Rekapitulacija Posebni dio'!#REF!+'Rekapitulacija Posebni dio'!#REF!+'Rekapitulacija Posebni dio'!C523+'Rekapitulacija Posebni dio'!#REF!</f>
        <v>#REF!</v>
      </c>
      <c r="F21" s="161" t="e">
        <f>'Rekapitulacija Posebni dio'!#REF!+'Rekapitulacija Posebni dio'!#REF!+'Rekapitulacija Posebni dio'!D523+'Rekapitulacija Posebni dio'!#REF!</f>
        <v>#REF!</v>
      </c>
      <c r="G21" s="161">
        <f>'Rekapitulacija Posebni dio'!E441+'Rekapitulacija Posebni dio'!E523+'Rekapitulacija Posebni dio'!E542</f>
        <v>82196.03</v>
      </c>
      <c r="H21" s="161">
        <f>'Rekapitulacija Posebni dio'!F523+'Rekapitulacija Posebni dio'!F542</f>
        <v>988.29</v>
      </c>
      <c r="I21" s="161">
        <f>'Rekapitulacija Posebni dio'!G523+'Rekapitulacija Posebni dio'!G542</f>
        <v>988.29</v>
      </c>
      <c r="J21" s="161">
        <f>'Rekapitulacija Posebni dio'!H523+'Rekapitulacija Posebni dio'!H542</f>
        <v>988.29</v>
      </c>
    </row>
    <row r="22" spans="1:10" s="117" customFormat="1" x14ac:dyDescent="0.25">
      <c r="A22" s="188"/>
      <c r="B22" s="132">
        <v>32</v>
      </c>
      <c r="C22" s="199"/>
      <c r="D22" s="212" t="s">
        <v>99</v>
      </c>
      <c r="E22" s="135" t="e">
        <f t="shared" ref="E22:J22" si="8">E23+E29+E44+E62+E66</f>
        <v>#REF!</v>
      </c>
      <c r="F22" s="135" t="e">
        <f t="shared" si="8"/>
        <v>#REF!</v>
      </c>
      <c r="G22" s="135">
        <f t="shared" si="8"/>
        <v>509395.67</v>
      </c>
      <c r="H22" s="135">
        <f t="shared" si="8"/>
        <v>474125.01</v>
      </c>
      <c r="I22" s="135">
        <f t="shared" si="8"/>
        <v>474125.01</v>
      </c>
      <c r="J22" s="135">
        <f t="shared" si="8"/>
        <v>474125.01</v>
      </c>
    </row>
    <row r="23" spans="1:10" s="117" customFormat="1" x14ac:dyDescent="0.25">
      <c r="A23" s="264"/>
      <c r="B23" s="136" t="s">
        <v>212</v>
      </c>
      <c r="C23" s="264"/>
      <c r="D23" s="451" t="s">
        <v>100</v>
      </c>
      <c r="E23" s="139" t="e">
        <f>E24+E27</f>
        <v>#REF!</v>
      </c>
      <c r="F23" s="139" t="e">
        <f t="shared" ref="F23:J23" si="9">F24+F27</f>
        <v>#REF!</v>
      </c>
      <c r="G23" s="139">
        <f t="shared" ref="G23" si="10">G24+G27</f>
        <v>4200</v>
      </c>
      <c r="H23" s="139">
        <f t="shared" si="9"/>
        <v>4200</v>
      </c>
      <c r="I23" s="139">
        <f t="shared" si="9"/>
        <v>4200</v>
      </c>
      <c r="J23" s="139">
        <f t="shared" si="9"/>
        <v>4200</v>
      </c>
    </row>
    <row r="24" spans="1:10" s="117" customFormat="1" x14ac:dyDescent="0.25">
      <c r="A24" s="264"/>
      <c r="B24" s="136" t="s">
        <v>101</v>
      </c>
      <c r="C24" s="264"/>
      <c r="D24" s="451" t="s">
        <v>102</v>
      </c>
      <c r="E24" s="139">
        <f>E25+E26</f>
        <v>0</v>
      </c>
      <c r="F24" s="139">
        <f t="shared" ref="F24:J24" si="11">F25+F26</f>
        <v>0</v>
      </c>
      <c r="G24" s="139">
        <f t="shared" ref="G24" si="12">G25+G26</f>
        <v>470</v>
      </c>
      <c r="H24" s="139">
        <f t="shared" si="11"/>
        <v>470</v>
      </c>
      <c r="I24" s="139">
        <f t="shared" si="11"/>
        <v>470</v>
      </c>
      <c r="J24" s="139">
        <f t="shared" si="11"/>
        <v>470</v>
      </c>
    </row>
    <row r="25" spans="1:10" s="117" customFormat="1" x14ac:dyDescent="0.25">
      <c r="A25" s="265"/>
      <c r="B25" s="140" t="s">
        <v>521</v>
      </c>
      <c r="C25" s="265"/>
      <c r="D25" s="452" t="s">
        <v>403</v>
      </c>
      <c r="E25" s="143">
        <f>'Rekapitulacija Posebni dio'!C546</f>
        <v>0</v>
      </c>
      <c r="F25" s="143">
        <f>'Rekapitulacija Posebni dio'!D546</f>
        <v>0</v>
      </c>
      <c r="G25" s="143">
        <f>'Rekapitulacija Posebni dio'!E546</f>
        <v>400</v>
      </c>
      <c r="H25" s="143">
        <f>'Rekapitulacija Posebni dio'!F546</f>
        <v>400</v>
      </c>
      <c r="I25" s="143">
        <f>'Rekapitulacija Posebni dio'!G546</f>
        <v>400</v>
      </c>
      <c r="J25" s="143">
        <f>'Rekapitulacija Posebni dio'!H546</f>
        <v>400</v>
      </c>
    </row>
    <row r="26" spans="1:10" s="117" customFormat="1" x14ac:dyDescent="0.25">
      <c r="A26" s="265"/>
      <c r="B26" s="140" t="s">
        <v>587</v>
      </c>
      <c r="C26" s="265"/>
      <c r="D26" s="452" t="s">
        <v>588</v>
      </c>
      <c r="E26" s="143">
        <f>'Rekapitulacija Posebni dio'!C547</f>
        <v>0</v>
      </c>
      <c r="F26" s="143">
        <f>'Rekapitulacija Posebni dio'!D547</f>
        <v>0</v>
      </c>
      <c r="G26" s="143">
        <f>'Rekapitulacija Posebni dio'!E547</f>
        <v>70</v>
      </c>
      <c r="H26" s="143">
        <f>'Rekapitulacija Posebni dio'!F547</f>
        <v>70</v>
      </c>
      <c r="I26" s="143">
        <f>'Rekapitulacija Posebni dio'!G547</f>
        <v>70</v>
      </c>
      <c r="J26" s="143">
        <f>'Rekapitulacija Posebni dio'!H547</f>
        <v>70</v>
      </c>
    </row>
    <row r="27" spans="1:10" s="117" customFormat="1" x14ac:dyDescent="0.25">
      <c r="A27" s="264"/>
      <c r="B27" s="136" t="s">
        <v>105</v>
      </c>
      <c r="C27" s="264"/>
      <c r="D27" s="365" t="s">
        <v>106</v>
      </c>
      <c r="E27" s="139" t="e">
        <f>E28</f>
        <v>#REF!</v>
      </c>
      <c r="F27" s="139" t="e">
        <f t="shared" ref="F27:J27" si="13">F28</f>
        <v>#REF!</v>
      </c>
      <c r="G27" s="139">
        <f t="shared" si="13"/>
        <v>3730</v>
      </c>
      <c r="H27" s="139">
        <f t="shared" si="13"/>
        <v>3730</v>
      </c>
      <c r="I27" s="139">
        <f t="shared" si="13"/>
        <v>3730</v>
      </c>
      <c r="J27" s="139">
        <f t="shared" si="13"/>
        <v>3730</v>
      </c>
    </row>
    <row r="28" spans="1:10" s="130" customFormat="1" x14ac:dyDescent="0.25">
      <c r="A28" s="265"/>
      <c r="B28" s="140" t="s">
        <v>530</v>
      </c>
      <c r="C28" s="265"/>
      <c r="D28" s="286" t="s">
        <v>407</v>
      </c>
      <c r="E28" s="143" t="e">
        <f>'Rekapitulacija Posebni dio'!C550+'Rekapitulacija Posebni dio'!#REF!</f>
        <v>#REF!</v>
      </c>
      <c r="F28" s="143" t="e">
        <f>'Rekapitulacija Posebni dio'!D550+'Rekapitulacija Posebni dio'!#REF!</f>
        <v>#REF!</v>
      </c>
      <c r="G28" s="143">
        <f>'Rekapitulacija Posebni dio'!E550</f>
        <v>3730</v>
      </c>
      <c r="H28" s="143">
        <f>'Rekapitulacija Posebni dio'!F550</f>
        <v>3730</v>
      </c>
      <c r="I28" s="143">
        <f>'Rekapitulacija Posebni dio'!G550</f>
        <v>3730</v>
      </c>
      <c r="J28" s="143">
        <f>'Rekapitulacija Posebni dio'!H550</f>
        <v>3730</v>
      </c>
    </row>
    <row r="29" spans="1:10" s="130" customFormat="1" x14ac:dyDescent="0.25">
      <c r="A29" s="188"/>
      <c r="B29" s="150" t="s">
        <v>109</v>
      </c>
      <c r="C29" s="188"/>
      <c r="D29" s="228" t="s">
        <v>110</v>
      </c>
      <c r="E29" s="153" t="e">
        <f>E30+E33+E36+E40</f>
        <v>#REF!</v>
      </c>
      <c r="F29" s="153" t="e">
        <f t="shared" ref="F29:J29" si="14">F30+F33+F36+F40</f>
        <v>#REF!</v>
      </c>
      <c r="G29" s="153">
        <f t="shared" ref="G29" si="15">G30+G33+G36+G40</f>
        <v>77595.67</v>
      </c>
      <c r="H29" s="153">
        <f t="shared" si="14"/>
        <v>154892.1</v>
      </c>
      <c r="I29" s="153">
        <f t="shared" si="14"/>
        <v>154892.1</v>
      </c>
      <c r="J29" s="153">
        <f t="shared" si="14"/>
        <v>154892.1</v>
      </c>
    </row>
    <row r="30" spans="1:10" s="215" customFormat="1" hidden="1" x14ac:dyDescent="0.25">
      <c r="A30" s="188"/>
      <c r="B30" s="150" t="s">
        <v>111</v>
      </c>
      <c r="C30" s="188"/>
      <c r="D30" s="228" t="s">
        <v>112</v>
      </c>
      <c r="E30" s="153" t="e">
        <f>E31+E32</f>
        <v>#REF!</v>
      </c>
      <c r="F30" s="153" t="e">
        <f t="shared" ref="F30:J30" si="16">F31+F32</f>
        <v>#REF!</v>
      </c>
      <c r="G30" s="153"/>
      <c r="H30" s="153">
        <f t="shared" si="16"/>
        <v>0</v>
      </c>
      <c r="I30" s="153">
        <f t="shared" si="16"/>
        <v>0</v>
      </c>
      <c r="J30" s="153">
        <f t="shared" si="16"/>
        <v>0</v>
      </c>
    </row>
    <row r="31" spans="1:10" s="215" customFormat="1" hidden="1" x14ac:dyDescent="0.25">
      <c r="A31" s="188"/>
      <c r="B31" s="214" t="s">
        <v>512</v>
      </c>
      <c r="C31" s="213"/>
      <c r="D31" s="229" t="s">
        <v>410</v>
      </c>
      <c r="E31" s="161" t="e">
        <f>'Rekapitulacija Posebni dio'!#REF!</f>
        <v>#REF!</v>
      </c>
      <c r="F31" s="161" t="e">
        <f>'Rekapitulacija Posebni dio'!#REF!</f>
        <v>#REF!</v>
      </c>
      <c r="G31" s="161"/>
      <c r="H31" s="161">
        <v>0</v>
      </c>
      <c r="I31" s="161">
        <v>0</v>
      </c>
      <c r="J31" s="161">
        <v>0</v>
      </c>
    </row>
    <row r="32" spans="1:10" s="117" customFormat="1" hidden="1" x14ac:dyDescent="0.25">
      <c r="A32" s="188"/>
      <c r="B32" s="214" t="s">
        <v>532</v>
      </c>
      <c r="C32" s="213"/>
      <c r="D32" s="229" t="s">
        <v>567</v>
      </c>
      <c r="E32" s="161" t="e">
        <f>'Rekapitulacija Posebni dio'!#REF!</f>
        <v>#REF!</v>
      </c>
      <c r="F32" s="161" t="e">
        <f>'Rekapitulacija Posebni dio'!#REF!</f>
        <v>#REF!</v>
      </c>
      <c r="G32" s="161"/>
      <c r="H32" s="161">
        <v>0</v>
      </c>
      <c r="I32" s="161">
        <v>0</v>
      </c>
      <c r="J32" s="161">
        <v>0</v>
      </c>
    </row>
    <row r="33" spans="1:10" s="130" customFormat="1" x14ac:dyDescent="0.25">
      <c r="A33" s="188"/>
      <c r="B33" s="150" t="s">
        <v>113</v>
      </c>
      <c r="C33" s="188"/>
      <c r="D33" s="228" t="s">
        <v>114</v>
      </c>
      <c r="E33" s="153" t="e">
        <f>E34</f>
        <v>#REF!</v>
      </c>
      <c r="F33" s="153" t="e">
        <f t="shared" ref="F33" si="17">F34</f>
        <v>#REF!</v>
      </c>
      <c r="G33" s="153">
        <f>SUM(G34:G35)</f>
        <v>62395.67</v>
      </c>
      <c r="H33" s="153">
        <f>SUM(H34:H35)</f>
        <v>150000</v>
      </c>
      <c r="I33" s="153">
        <f t="shared" ref="I33:J33" si="18">SUM(I34:I35)</f>
        <v>150000</v>
      </c>
      <c r="J33" s="153">
        <f t="shared" si="18"/>
        <v>150000</v>
      </c>
    </row>
    <row r="34" spans="1:10" s="117" customFormat="1" hidden="1" x14ac:dyDescent="0.25">
      <c r="A34" s="188"/>
      <c r="B34" s="214" t="s">
        <v>493</v>
      </c>
      <c r="C34" s="213"/>
      <c r="D34" s="229" t="s">
        <v>415</v>
      </c>
      <c r="E34" s="161" t="e">
        <f>'Rekapitulacija Posebni dio'!#REF!</f>
        <v>#REF!</v>
      </c>
      <c r="F34" s="161" t="e">
        <f>'Rekapitulacija Posebni dio'!#REF!</f>
        <v>#REF!</v>
      </c>
      <c r="G34" s="161">
        <v>0</v>
      </c>
      <c r="H34" s="161">
        <v>0</v>
      </c>
      <c r="I34" s="161">
        <v>0</v>
      </c>
      <c r="J34" s="161">
        <v>0</v>
      </c>
    </row>
    <row r="35" spans="1:10" s="117" customFormat="1" x14ac:dyDescent="0.25">
      <c r="A35" s="188"/>
      <c r="B35" s="214" t="s">
        <v>592</v>
      </c>
      <c r="C35" s="213"/>
      <c r="D35" s="229" t="s">
        <v>594</v>
      </c>
      <c r="E35" s="161"/>
      <c r="F35" s="161"/>
      <c r="G35" s="161">
        <f>'Rekapitulacija Posebni dio'!E445</f>
        <v>62395.67</v>
      </c>
      <c r="H35" s="161">
        <f>'Rekapitulacija Posebni dio'!F445</f>
        <v>150000</v>
      </c>
      <c r="I35" s="161">
        <f>'Rekapitulacija Posebni dio'!G445</f>
        <v>150000</v>
      </c>
      <c r="J35" s="161">
        <f>'Rekapitulacija Posebni dio'!H445</f>
        <v>150000</v>
      </c>
    </row>
    <row r="36" spans="1:10" s="130" customFormat="1" x14ac:dyDescent="0.25">
      <c r="A36" s="188"/>
      <c r="B36" s="150" t="s">
        <v>115</v>
      </c>
      <c r="C36" s="188"/>
      <c r="D36" s="228" t="s">
        <v>116</v>
      </c>
      <c r="E36" s="153" t="e">
        <f>E37+E38+E39</f>
        <v>#REF!</v>
      </c>
      <c r="F36" s="153" t="e">
        <f t="shared" ref="F36:J36" si="19">F37+F38+F39</f>
        <v>#REF!</v>
      </c>
      <c r="G36" s="153">
        <f t="shared" ref="G36" si="20">G37+G38+G39</f>
        <v>200</v>
      </c>
      <c r="H36" s="153">
        <f t="shared" si="19"/>
        <v>200</v>
      </c>
      <c r="I36" s="153">
        <f t="shared" si="19"/>
        <v>200</v>
      </c>
      <c r="J36" s="153">
        <f t="shared" si="19"/>
        <v>200</v>
      </c>
    </row>
    <row r="37" spans="1:10" s="117" customFormat="1" hidden="1" x14ac:dyDescent="0.25">
      <c r="A37" s="188"/>
      <c r="B37" s="214" t="s">
        <v>496</v>
      </c>
      <c r="C37" s="213"/>
      <c r="D37" s="229" t="s">
        <v>419</v>
      </c>
      <c r="E37" s="161" t="e">
        <f>'Rekapitulacija Posebni dio'!#REF!</f>
        <v>#REF!</v>
      </c>
      <c r="F37" s="161" t="e">
        <f>'Rekapitulacija Posebni dio'!#REF!</f>
        <v>#REF!</v>
      </c>
      <c r="G37" s="161"/>
      <c r="H37" s="161">
        <v>0</v>
      </c>
      <c r="I37" s="161">
        <v>0</v>
      </c>
      <c r="J37" s="161">
        <v>0</v>
      </c>
    </row>
    <row r="38" spans="1:10" s="117" customFormat="1" hidden="1" x14ac:dyDescent="0.25">
      <c r="A38" s="188"/>
      <c r="B38" s="214" t="s">
        <v>498</v>
      </c>
      <c r="C38" s="213"/>
      <c r="D38" s="229" t="s">
        <v>421</v>
      </c>
      <c r="E38" s="161" t="e">
        <f>'Rekapitulacija Posebni dio'!#REF!</f>
        <v>#REF!</v>
      </c>
      <c r="F38" s="161" t="e">
        <f>'Rekapitulacija Posebni dio'!#REF!</f>
        <v>#REF!</v>
      </c>
      <c r="G38" s="161"/>
      <c r="H38" s="161">
        <v>0</v>
      </c>
      <c r="I38" s="161">
        <v>0</v>
      </c>
      <c r="J38" s="161">
        <v>0</v>
      </c>
    </row>
    <row r="39" spans="1:10" s="117" customFormat="1" x14ac:dyDescent="0.25">
      <c r="A39" s="188"/>
      <c r="B39" s="214" t="s">
        <v>499</v>
      </c>
      <c r="C39" s="213"/>
      <c r="D39" s="229" t="s">
        <v>418</v>
      </c>
      <c r="E39" s="161">
        <f>'Rekapitulacija Posebni dio'!C553</f>
        <v>0</v>
      </c>
      <c r="F39" s="161">
        <f>'Rekapitulacija Posebni dio'!D553</f>
        <v>0</v>
      </c>
      <c r="G39" s="161">
        <f>'Rekapitulacija Posebni dio'!E553</f>
        <v>200</v>
      </c>
      <c r="H39" s="161">
        <f>'Rekapitulacija Posebni dio'!F553</f>
        <v>200</v>
      </c>
      <c r="I39" s="161">
        <f>'Rekapitulacija Posebni dio'!G553</f>
        <v>200</v>
      </c>
      <c r="J39" s="161">
        <f>'Rekapitulacija Posebni dio'!H553</f>
        <v>200</v>
      </c>
    </row>
    <row r="40" spans="1:10" s="117" customFormat="1" x14ac:dyDescent="0.25">
      <c r="A40" s="188"/>
      <c r="B40" s="150" t="s">
        <v>117</v>
      </c>
      <c r="C40" s="188"/>
      <c r="D40" s="221" t="s">
        <v>118</v>
      </c>
      <c r="E40" s="153" t="e">
        <f>SUM(E41:E43)</f>
        <v>#REF!</v>
      </c>
      <c r="F40" s="153" t="e">
        <f t="shared" ref="F40:J40" si="21">SUM(F41:F43)</f>
        <v>#REF!</v>
      </c>
      <c r="G40" s="153">
        <f t="shared" ref="G40" si="22">SUM(G41:G43)</f>
        <v>15000</v>
      </c>
      <c r="H40" s="153">
        <f t="shared" si="21"/>
        <v>4692.1000000000004</v>
      </c>
      <c r="I40" s="153">
        <f t="shared" si="21"/>
        <v>4692.1000000000004</v>
      </c>
      <c r="J40" s="153">
        <f t="shared" si="21"/>
        <v>4692.1000000000004</v>
      </c>
    </row>
    <row r="41" spans="1:10" s="117" customFormat="1" x14ac:dyDescent="0.25">
      <c r="A41" s="188"/>
      <c r="B41" s="214">
        <v>32241</v>
      </c>
      <c r="C41" s="188"/>
      <c r="D41" s="286" t="s">
        <v>422</v>
      </c>
      <c r="E41" s="161" t="e">
        <f>'Rekapitulacija Posebni dio'!C466+'Rekapitulacija Posebni dio'!#REF!+'Rekapitulacija Posebni dio'!#REF!</f>
        <v>#REF!</v>
      </c>
      <c r="F41" s="161" t="e">
        <f>'Rekapitulacija Posebni dio'!D466+'Rekapitulacija Posebni dio'!#REF!+'Rekapitulacija Posebni dio'!#REF!</f>
        <v>#REF!</v>
      </c>
      <c r="G41" s="161">
        <f>'Rekapitulacija Posebni dio'!E466</f>
        <v>15000</v>
      </c>
      <c r="H41" s="161">
        <f>'Rekapitulacija Posebni dio'!F466</f>
        <v>4692.1000000000004</v>
      </c>
      <c r="I41" s="161">
        <f>'Rekapitulacija Posebni dio'!G466</f>
        <v>4692.1000000000004</v>
      </c>
      <c r="J41" s="161">
        <f>'Rekapitulacija Posebni dio'!H466</f>
        <v>4692.1000000000004</v>
      </c>
    </row>
    <row r="42" spans="1:10" s="117" customFormat="1" hidden="1" x14ac:dyDescent="0.25">
      <c r="A42" s="188"/>
      <c r="B42" s="214" t="s">
        <v>537</v>
      </c>
      <c r="C42" s="188"/>
      <c r="D42" s="286" t="s">
        <v>424</v>
      </c>
      <c r="E42" s="161" t="e">
        <f>'Rekapitulacija Posebni dio'!#REF!</f>
        <v>#REF!</v>
      </c>
      <c r="F42" s="161" t="e">
        <f>'Rekapitulacija Posebni dio'!#REF!</f>
        <v>#REF!</v>
      </c>
      <c r="G42" s="161"/>
      <c r="H42" s="161"/>
      <c r="I42" s="161"/>
      <c r="J42" s="161"/>
    </row>
    <row r="43" spans="1:10" s="117" customFormat="1" hidden="1" x14ac:dyDescent="0.25">
      <c r="A43" s="188"/>
      <c r="B43" s="214" t="s">
        <v>539</v>
      </c>
      <c r="C43" s="188"/>
      <c r="D43" s="286" t="s">
        <v>425</v>
      </c>
      <c r="E43" s="161" t="e">
        <f>'Rekapitulacija Posebni dio'!#REF!</f>
        <v>#REF!</v>
      </c>
      <c r="F43" s="161" t="e">
        <f>'Rekapitulacija Posebni dio'!#REF!</f>
        <v>#REF!</v>
      </c>
      <c r="G43" s="161"/>
      <c r="H43" s="161"/>
      <c r="I43" s="161"/>
      <c r="J43" s="161"/>
    </row>
    <row r="44" spans="1:10" s="130" customFormat="1" x14ac:dyDescent="0.25">
      <c r="A44" s="188"/>
      <c r="B44" s="150" t="s">
        <v>123</v>
      </c>
      <c r="C44" s="188"/>
      <c r="D44" s="221" t="s">
        <v>124</v>
      </c>
      <c r="E44" s="153" t="e">
        <f t="shared" ref="E44:J44" si="23">E45+E47+E52+E54+E56+E59</f>
        <v>#REF!</v>
      </c>
      <c r="F44" s="153" t="e">
        <f t="shared" si="23"/>
        <v>#REF!</v>
      </c>
      <c r="G44" s="153">
        <f t="shared" si="23"/>
        <v>409600</v>
      </c>
      <c r="H44" s="153">
        <f t="shared" si="23"/>
        <v>297032.90999999997</v>
      </c>
      <c r="I44" s="153">
        <f t="shared" si="23"/>
        <v>297032.90999999997</v>
      </c>
      <c r="J44" s="153">
        <f t="shared" si="23"/>
        <v>297032.90999999997</v>
      </c>
    </row>
    <row r="45" spans="1:10" s="130" customFormat="1" hidden="1" x14ac:dyDescent="0.25">
      <c r="A45" s="188"/>
      <c r="B45" s="150" t="s">
        <v>125</v>
      </c>
      <c r="C45" s="188"/>
      <c r="D45" s="288" t="s">
        <v>126</v>
      </c>
      <c r="E45" s="153" t="e">
        <f>E46</f>
        <v>#REF!</v>
      </c>
      <c r="F45" s="153" t="e">
        <f t="shared" ref="F45:J45" si="24">F46</f>
        <v>#REF!</v>
      </c>
      <c r="G45" s="153"/>
      <c r="H45" s="153">
        <f t="shared" si="24"/>
        <v>0</v>
      </c>
      <c r="I45" s="153">
        <f t="shared" si="24"/>
        <v>0</v>
      </c>
      <c r="J45" s="153">
        <f t="shared" si="24"/>
        <v>0</v>
      </c>
    </row>
    <row r="46" spans="1:10" s="117" customFormat="1" hidden="1" x14ac:dyDescent="0.25">
      <c r="A46" s="213"/>
      <c r="B46" s="214" t="s">
        <v>502</v>
      </c>
      <c r="C46" s="213"/>
      <c r="D46" s="287" t="s">
        <v>426</v>
      </c>
      <c r="E46" s="161" t="e">
        <f>'Rekapitulacija Posebni dio'!#REF!</f>
        <v>#REF!</v>
      </c>
      <c r="F46" s="161" t="e">
        <f>'Rekapitulacija Posebni dio'!#REF!</f>
        <v>#REF!</v>
      </c>
      <c r="G46" s="161"/>
      <c r="H46" s="161">
        <v>0</v>
      </c>
      <c r="I46" s="161">
        <v>0</v>
      </c>
      <c r="J46" s="161">
        <v>0</v>
      </c>
    </row>
    <row r="47" spans="1:10" s="130" customFormat="1" x14ac:dyDescent="0.25">
      <c r="A47" s="188"/>
      <c r="B47" s="150" t="s">
        <v>127</v>
      </c>
      <c r="C47" s="188"/>
      <c r="D47" s="221" t="s">
        <v>128</v>
      </c>
      <c r="E47" s="153" t="e">
        <f t="shared" ref="E47" si="25">SUM(E48:E51)</f>
        <v>#REF!</v>
      </c>
      <c r="F47" s="153" t="e">
        <f t="shared" ref="F47" si="26">SUM(F48:F51)</f>
        <v>#REF!</v>
      </c>
      <c r="G47" s="153">
        <f>SUM(G48:G51)</f>
        <v>315175</v>
      </c>
      <c r="H47" s="153">
        <f>SUM(H48:H51)</f>
        <v>224043.74</v>
      </c>
      <c r="I47" s="153">
        <f t="shared" ref="I47:J47" si="27">SUM(I48:I51)</f>
        <v>224043.74</v>
      </c>
      <c r="J47" s="153">
        <f t="shared" si="27"/>
        <v>224043.74</v>
      </c>
    </row>
    <row r="48" spans="1:10" s="117" customFormat="1" ht="15" customHeight="1" x14ac:dyDescent="0.25">
      <c r="A48" s="213"/>
      <c r="B48" s="214" t="s">
        <v>524</v>
      </c>
      <c r="C48" s="213"/>
      <c r="D48" s="220" t="s">
        <v>429</v>
      </c>
      <c r="E48" s="161" t="e">
        <f>'Rekapitulacija Posebni dio'!C469+'Rekapitulacija Posebni dio'!#REF!+'Rekapitulacija Posebni dio'!#REF!</f>
        <v>#REF!</v>
      </c>
      <c r="F48" s="161" t="e">
        <f>'Rekapitulacija Posebni dio'!D469+'Rekapitulacija Posebni dio'!#REF!+'Rekapitulacija Posebni dio'!#REF!</f>
        <v>#REF!</v>
      </c>
      <c r="G48" s="161">
        <f>'Rekapitulacija Posebni dio'!E469</f>
        <v>87500</v>
      </c>
      <c r="H48" s="161">
        <f>'Rekapitulacija Posebni dio'!F469</f>
        <v>224043.74</v>
      </c>
      <c r="I48" s="161">
        <f>'Rekapitulacija Posebni dio'!G469</f>
        <v>224043.74</v>
      </c>
      <c r="J48" s="161">
        <f>'Rekapitulacija Posebni dio'!H469</f>
        <v>224043.74</v>
      </c>
    </row>
    <row r="49" spans="1:10" s="117" customFormat="1" ht="15" customHeight="1" x14ac:dyDescent="0.25">
      <c r="A49" s="213"/>
      <c r="B49" s="214" t="s">
        <v>525</v>
      </c>
      <c r="C49" s="213"/>
      <c r="D49" s="220" t="s">
        <v>430</v>
      </c>
      <c r="E49" s="161" t="e">
        <f>'Rekapitulacija Posebni dio'!C470+'Rekapitulacija Posebni dio'!#REF!+'Rekapitulacija Posebni dio'!#REF!</f>
        <v>#REF!</v>
      </c>
      <c r="F49" s="161" t="e">
        <f>'Rekapitulacija Posebni dio'!D470+'Rekapitulacija Posebni dio'!#REF!+'Rekapitulacija Posebni dio'!#REF!</f>
        <v>#REF!</v>
      </c>
      <c r="G49" s="161">
        <f>'Rekapitulacija Posebni dio'!E470</f>
        <v>177675</v>
      </c>
      <c r="H49" s="161">
        <f>'Rekapitulacija Posebni dio'!F470</f>
        <v>0</v>
      </c>
      <c r="I49" s="161">
        <f>'Rekapitulacija Posebni dio'!G470</f>
        <v>0</v>
      </c>
      <c r="J49" s="161">
        <f>'Rekapitulacija Posebni dio'!H470</f>
        <v>0</v>
      </c>
    </row>
    <row r="50" spans="1:10" s="117" customFormat="1" ht="15" customHeight="1" x14ac:dyDescent="0.25">
      <c r="A50" s="213"/>
      <c r="B50" s="214" t="s">
        <v>526</v>
      </c>
      <c r="C50" s="213"/>
      <c r="D50" s="220" t="s">
        <v>428</v>
      </c>
      <c r="E50" s="161" t="e">
        <f>'Rekapitulacija Posebni dio'!C471+'Rekapitulacija Posebni dio'!#REF!+'Rekapitulacija Posebni dio'!#REF!</f>
        <v>#REF!</v>
      </c>
      <c r="F50" s="161" t="e">
        <f>'Rekapitulacija Posebni dio'!D471+'Rekapitulacija Posebni dio'!#REF!+'Rekapitulacija Posebni dio'!#REF!</f>
        <v>#REF!</v>
      </c>
      <c r="G50" s="161">
        <f>'Rekapitulacija Posebni dio'!E471</f>
        <v>30000</v>
      </c>
      <c r="H50" s="161">
        <f>'Rekapitulacija Posebni dio'!F471</f>
        <v>0</v>
      </c>
      <c r="I50" s="161">
        <f>'Rekapitulacija Posebni dio'!G471</f>
        <v>0</v>
      </c>
      <c r="J50" s="161">
        <f>'Rekapitulacija Posebni dio'!H471</f>
        <v>0</v>
      </c>
    </row>
    <row r="51" spans="1:10" s="117" customFormat="1" ht="15" customHeight="1" x14ac:dyDescent="0.25">
      <c r="A51" s="213"/>
      <c r="B51" s="214" t="s">
        <v>598</v>
      </c>
      <c r="C51" s="213"/>
      <c r="D51" s="220" t="s">
        <v>640</v>
      </c>
      <c r="E51" s="161" t="e">
        <f>'Rekapitulacija Posebni dio'!#REF!</f>
        <v>#REF!</v>
      </c>
      <c r="F51" s="161" t="e">
        <f>'Rekapitulacija Posebni dio'!#REF!</f>
        <v>#REF!</v>
      </c>
      <c r="G51" s="161">
        <f>'Rekapitulacija Posebni dio'!E472</f>
        <v>20000</v>
      </c>
      <c r="H51" s="161">
        <f>'Rekapitulacija Posebni dio'!F472</f>
        <v>0</v>
      </c>
      <c r="I51" s="161">
        <f>'Rekapitulacija Posebni dio'!G472</f>
        <v>0</v>
      </c>
      <c r="J51" s="161">
        <f>'Rekapitulacija Posebni dio'!H472</f>
        <v>0</v>
      </c>
    </row>
    <row r="52" spans="1:10" s="130" customFormat="1" hidden="1" x14ac:dyDescent="0.25">
      <c r="A52" s="188"/>
      <c r="B52" s="150" t="s">
        <v>214</v>
      </c>
      <c r="C52" s="188"/>
      <c r="D52" s="221" t="s">
        <v>134</v>
      </c>
      <c r="E52" s="153" t="e">
        <f>E53</f>
        <v>#REF!</v>
      </c>
      <c r="F52" s="153" t="e">
        <f t="shared" ref="F52:J52" si="28">F53</f>
        <v>#REF!</v>
      </c>
      <c r="G52" s="153"/>
      <c r="H52" s="153">
        <f t="shared" si="28"/>
        <v>0</v>
      </c>
      <c r="I52" s="153">
        <f t="shared" si="28"/>
        <v>0</v>
      </c>
      <c r="J52" s="153">
        <f t="shared" si="28"/>
        <v>0</v>
      </c>
    </row>
    <row r="53" spans="1:10" s="117" customFormat="1" hidden="1" x14ac:dyDescent="0.25">
      <c r="A53" s="213"/>
      <c r="B53" s="214" t="s">
        <v>513</v>
      </c>
      <c r="C53" s="213"/>
      <c r="D53" s="220" t="s">
        <v>134</v>
      </c>
      <c r="E53" s="161" t="e">
        <f>'Rekapitulacija Posebni dio'!#REF!+'Rekapitulacija Posebni dio'!#REF!</f>
        <v>#REF!</v>
      </c>
      <c r="F53" s="161" t="e">
        <f>'Rekapitulacija Posebni dio'!#REF!+'Rekapitulacija Posebni dio'!#REF!</f>
        <v>#REF!</v>
      </c>
      <c r="G53" s="161"/>
      <c r="H53" s="161">
        <v>0</v>
      </c>
      <c r="I53" s="161">
        <v>0</v>
      </c>
      <c r="J53" s="161">
        <v>0</v>
      </c>
    </row>
    <row r="54" spans="1:10" s="130" customFormat="1" hidden="1" x14ac:dyDescent="0.25">
      <c r="A54" s="188"/>
      <c r="B54" s="150" t="s">
        <v>215</v>
      </c>
      <c r="C54" s="188"/>
      <c r="D54" s="221" t="s">
        <v>135</v>
      </c>
      <c r="E54" s="153" t="e">
        <f>E55</f>
        <v>#REF!</v>
      </c>
      <c r="F54" s="153" t="e">
        <f t="shared" ref="F54:J54" si="29">F55</f>
        <v>#REF!</v>
      </c>
      <c r="G54" s="153"/>
      <c r="H54" s="153">
        <f t="shared" si="29"/>
        <v>0</v>
      </c>
      <c r="I54" s="153">
        <f t="shared" si="29"/>
        <v>0</v>
      </c>
      <c r="J54" s="153">
        <f t="shared" si="29"/>
        <v>0</v>
      </c>
    </row>
    <row r="55" spans="1:10" s="117" customFormat="1" hidden="1" x14ac:dyDescent="0.25">
      <c r="A55" s="213"/>
      <c r="B55" s="214" t="s">
        <v>568</v>
      </c>
      <c r="C55" s="213"/>
      <c r="D55" s="220" t="s">
        <v>505</v>
      </c>
      <c r="E55" s="161" t="e">
        <f>'Rekapitulacija Posebni dio'!#REF!</f>
        <v>#REF!</v>
      </c>
      <c r="F55" s="161" t="e">
        <f>'Rekapitulacija Posebni dio'!#REF!</f>
        <v>#REF!</v>
      </c>
      <c r="G55" s="161"/>
      <c r="H55" s="161">
        <v>0</v>
      </c>
      <c r="I55" s="161">
        <v>0</v>
      </c>
      <c r="J55" s="161">
        <v>0</v>
      </c>
    </row>
    <row r="56" spans="1:10" s="117" customFormat="1" ht="15" customHeight="1" x14ac:dyDescent="0.25">
      <c r="A56" s="213"/>
      <c r="B56" s="171">
        <v>3238</v>
      </c>
      <c r="C56" s="149"/>
      <c r="D56" s="223" t="s">
        <v>137</v>
      </c>
      <c r="E56" s="153" t="e">
        <f t="shared" ref="E56:F56" si="30">SUM(E58)</f>
        <v>#REF!</v>
      </c>
      <c r="F56" s="153" t="e">
        <f t="shared" si="30"/>
        <v>#REF!</v>
      </c>
      <c r="G56" s="153">
        <f>SUM(G57:G58)</f>
        <v>94425</v>
      </c>
      <c r="H56" s="153">
        <f>SUM(H57:H58)</f>
        <v>72989.17</v>
      </c>
      <c r="I56" s="153">
        <f t="shared" ref="I56:J56" si="31">SUM(I57:I58)</f>
        <v>72989.17</v>
      </c>
      <c r="J56" s="153">
        <f t="shared" si="31"/>
        <v>72989.17</v>
      </c>
    </row>
    <row r="57" spans="1:10" s="117" customFormat="1" ht="15" customHeight="1" x14ac:dyDescent="0.25">
      <c r="A57" s="213"/>
      <c r="B57" s="174">
        <v>32381</v>
      </c>
      <c r="C57" s="131"/>
      <c r="D57" s="222" t="s">
        <v>669</v>
      </c>
      <c r="E57" s="161"/>
      <c r="F57" s="161"/>
      <c r="G57" s="161">
        <f>'Rekapitulacija Posebni dio'!E476</f>
        <v>0</v>
      </c>
      <c r="H57" s="161">
        <f>'Rekapitulacija Posebni dio'!F476</f>
        <v>72989.17</v>
      </c>
      <c r="I57" s="161">
        <f>'Rekapitulacija Posebni dio'!G476</f>
        <v>72989.17</v>
      </c>
      <c r="J57" s="161">
        <f>'Rekapitulacija Posebni dio'!H476</f>
        <v>72989.17</v>
      </c>
    </row>
    <row r="58" spans="1:10" s="130" customFormat="1" x14ac:dyDescent="0.25">
      <c r="A58" s="188"/>
      <c r="B58" s="174">
        <v>32389</v>
      </c>
      <c r="C58" s="131"/>
      <c r="D58" s="222" t="s">
        <v>440</v>
      </c>
      <c r="E58" s="161" t="e">
        <f>'Rekapitulacija Posebni dio'!C477+'Rekapitulacija Posebni dio'!#REF!</f>
        <v>#REF!</v>
      </c>
      <c r="F58" s="161" t="e">
        <f>'Rekapitulacija Posebni dio'!D477+'Rekapitulacija Posebni dio'!#REF!</f>
        <v>#REF!</v>
      </c>
      <c r="G58" s="161">
        <f>'Rekapitulacija Posebni dio'!E477</f>
        <v>94425</v>
      </c>
      <c r="H58" s="161">
        <f>'Rekapitulacija Posebni dio'!F477</f>
        <v>0</v>
      </c>
      <c r="I58" s="161">
        <f>'Rekapitulacija Posebni dio'!G477</f>
        <v>0</v>
      </c>
      <c r="J58" s="161">
        <f>'Rekapitulacija Posebni dio'!H477</f>
        <v>0</v>
      </c>
    </row>
    <row r="59" spans="1:10" s="130" customFormat="1" hidden="1" x14ac:dyDescent="0.25">
      <c r="A59" s="188"/>
      <c r="B59" s="171">
        <v>3239</v>
      </c>
      <c r="C59" s="149"/>
      <c r="D59" s="223" t="s">
        <v>139</v>
      </c>
      <c r="E59" s="153" t="e">
        <f>E60+E61</f>
        <v>#REF!</v>
      </c>
      <c r="F59" s="153" t="e">
        <f t="shared" ref="F59:J59" si="32">F60+F61</f>
        <v>#REF!</v>
      </c>
      <c r="G59" s="153"/>
      <c r="H59" s="153">
        <f t="shared" si="32"/>
        <v>0</v>
      </c>
      <c r="I59" s="153">
        <f t="shared" si="32"/>
        <v>0</v>
      </c>
      <c r="J59" s="153">
        <f t="shared" si="32"/>
        <v>0</v>
      </c>
    </row>
    <row r="60" spans="1:10" s="130" customFormat="1" hidden="1" x14ac:dyDescent="0.25">
      <c r="A60" s="188"/>
      <c r="B60" s="174">
        <v>32394</v>
      </c>
      <c r="C60" s="131"/>
      <c r="D60" s="222" t="s">
        <v>441</v>
      </c>
      <c r="E60" s="161" t="e">
        <f>'Rekapitulacija Posebni dio'!#REF!</f>
        <v>#REF!</v>
      </c>
      <c r="F60" s="161" t="e">
        <f>'Rekapitulacija Posebni dio'!#REF!</f>
        <v>#REF!</v>
      </c>
      <c r="G60" s="161"/>
      <c r="H60" s="161"/>
      <c r="I60" s="161">
        <v>0</v>
      </c>
      <c r="J60" s="161">
        <v>0</v>
      </c>
    </row>
    <row r="61" spans="1:10" s="130" customFormat="1" hidden="1" x14ac:dyDescent="0.25">
      <c r="A61" s="188"/>
      <c r="B61" s="174">
        <v>32399</v>
      </c>
      <c r="C61" s="131"/>
      <c r="D61" s="222" t="s">
        <v>311</v>
      </c>
      <c r="E61" s="161" t="e">
        <f>'Rekapitulacija Posebni dio'!#REF!</f>
        <v>#REF!</v>
      </c>
      <c r="F61" s="161" t="e">
        <f>'Rekapitulacija Posebni dio'!#REF!</f>
        <v>#REF!</v>
      </c>
      <c r="G61" s="161"/>
      <c r="H61" s="161">
        <v>0</v>
      </c>
      <c r="I61" s="161">
        <v>0</v>
      </c>
      <c r="J61" s="161">
        <v>0</v>
      </c>
    </row>
    <row r="62" spans="1:10" s="130" customFormat="1" hidden="1" x14ac:dyDescent="0.25">
      <c r="A62" s="188"/>
      <c r="B62" s="154" t="s">
        <v>579</v>
      </c>
      <c r="C62" s="149"/>
      <c r="D62" s="156" t="s">
        <v>633</v>
      </c>
      <c r="E62" s="153" t="e">
        <f>E63</f>
        <v>#REF!</v>
      </c>
      <c r="F62" s="153" t="e">
        <f t="shared" ref="F62:J62" si="33">F63</f>
        <v>#REF!</v>
      </c>
      <c r="G62" s="153"/>
      <c r="H62" s="153">
        <f t="shared" si="33"/>
        <v>0</v>
      </c>
      <c r="I62" s="153">
        <f t="shared" si="33"/>
        <v>0</v>
      </c>
      <c r="J62" s="153">
        <f t="shared" si="33"/>
        <v>0</v>
      </c>
    </row>
    <row r="63" spans="1:10" s="130" customFormat="1" hidden="1" x14ac:dyDescent="0.25">
      <c r="A63" s="188"/>
      <c r="B63" s="154" t="s">
        <v>580</v>
      </c>
      <c r="C63" s="149"/>
      <c r="D63" s="156" t="s">
        <v>633</v>
      </c>
      <c r="E63" s="153" t="e">
        <f>E64+E65</f>
        <v>#REF!</v>
      </c>
      <c r="F63" s="153" t="e">
        <f t="shared" ref="F63:J63" si="34">F64+F65</f>
        <v>#REF!</v>
      </c>
      <c r="G63" s="153"/>
      <c r="H63" s="153">
        <f t="shared" si="34"/>
        <v>0</v>
      </c>
      <c r="I63" s="153">
        <f t="shared" si="34"/>
        <v>0</v>
      </c>
      <c r="J63" s="153">
        <f t="shared" si="34"/>
        <v>0</v>
      </c>
    </row>
    <row r="64" spans="1:10" s="130" customFormat="1" hidden="1" x14ac:dyDescent="0.25">
      <c r="A64" s="188"/>
      <c r="B64" s="158" t="s">
        <v>581</v>
      </c>
      <c r="C64" s="149"/>
      <c r="D64" s="159" t="s">
        <v>583</v>
      </c>
      <c r="E64" s="161" t="e">
        <f>'Rekapitulacija Posebni dio'!#REF!+'Rekapitulacija Posebni dio'!#REF!</f>
        <v>#REF!</v>
      </c>
      <c r="F64" s="161" t="e">
        <f>'Rekapitulacija Posebni dio'!#REF!+'Rekapitulacija Posebni dio'!#REF!</f>
        <v>#REF!</v>
      </c>
      <c r="G64" s="161"/>
      <c r="H64" s="161">
        <v>0</v>
      </c>
      <c r="I64" s="161">
        <v>0</v>
      </c>
      <c r="J64" s="161">
        <v>0</v>
      </c>
    </row>
    <row r="65" spans="1:10" s="130" customFormat="1" hidden="1" x14ac:dyDescent="0.25">
      <c r="A65" s="188"/>
      <c r="B65" s="158" t="s">
        <v>582</v>
      </c>
      <c r="C65" s="149"/>
      <c r="D65" s="159" t="s">
        <v>584</v>
      </c>
      <c r="E65" s="161" t="e">
        <f>'Rekapitulacija Posebni dio'!#REF!+'Rekapitulacija Posebni dio'!#REF!+'Rekapitulacija Posebni dio'!#REF!</f>
        <v>#REF!</v>
      </c>
      <c r="F65" s="161" t="e">
        <f>'Rekapitulacija Posebni dio'!#REF!+'Rekapitulacija Posebni dio'!#REF!+'Rekapitulacija Posebni dio'!#REF!</f>
        <v>#REF!</v>
      </c>
      <c r="G65" s="161"/>
      <c r="H65" s="161">
        <v>0</v>
      </c>
      <c r="I65" s="161">
        <v>0</v>
      </c>
      <c r="J65" s="161">
        <v>0</v>
      </c>
    </row>
    <row r="66" spans="1:10" s="130" customFormat="1" x14ac:dyDescent="0.25">
      <c r="A66" s="188"/>
      <c r="B66" s="171">
        <v>329</v>
      </c>
      <c r="C66" s="149"/>
      <c r="D66" s="223" t="s">
        <v>141</v>
      </c>
      <c r="E66" s="153" t="e">
        <f>E67+E69+E71</f>
        <v>#REF!</v>
      </c>
      <c r="F66" s="153" t="e">
        <f t="shared" ref="F66:J66" si="35">F67+F69+F71</f>
        <v>#REF!</v>
      </c>
      <c r="G66" s="153">
        <f t="shared" si="35"/>
        <v>18000</v>
      </c>
      <c r="H66" s="153">
        <f t="shared" si="35"/>
        <v>18000</v>
      </c>
      <c r="I66" s="153">
        <f t="shared" si="35"/>
        <v>18000</v>
      </c>
      <c r="J66" s="153">
        <f t="shared" si="35"/>
        <v>18000</v>
      </c>
    </row>
    <row r="67" spans="1:10" s="130" customFormat="1" hidden="1" x14ac:dyDescent="0.25">
      <c r="A67" s="188"/>
      <c r="B67" s="171">
        <v>3292</v>
      </c>
      <c r="C67" s="149"/>
      <c r="D67" s="223" t="s">
        <v>144</v>
      </c>
      <c r="E67" s="153" t="e">
        <f>E68</f>
        <v>#REF!</v>
      </c>
      <c r="F67" s="153" t="e">
        <f t="shared" ref="F67:J67" si="36">F68</f>
        <v>#REF!</v>
      </c>
      <c r="G67" s="153"/>
      <c r="H67" s="153">
        <f t="shared" si="36"/>
        <v>0</v>
      </c>
      <c r="I67" s="153">
        <f t="shared" si="36"/>
        <v>0</v>
      </c>
      <c r="J67" s="153">
        <f t="shared" si="36"/>
        <v>0</v>
      </c>
    </row>
    <row r="68" spans="1:10" s="130" customFormat="1" hidden="1" x14ac:dyDescent="0.25">
      <c r="A68" s="188"/>
      <c r="B68" s="174">
        <v>32923</v>
      </c>
      <c r="C68" s="131"/>
      <c r="D68" s="222" t="s">
        <v>443</v>
      </c>
      <c r="E68" s="161" t="e">
        <f>'Rekapitulacija Posebni dio'!#REF!</f>
        <v>#REF!</v>
      </c>
      <c r="F68" s="161" t="e">
        <f>'Rekapitulacija Posebni dio'!#REF!</f>
        <v>#REF!</v>
      </c>
      <c r="G68" s="161"/>
      <c r="H68" s="161">
        <v>0</v>
      </c>
      <c r="I68" s="161">
        <v>0</v>
      </c>
      <c r="J68" s="161">
        <v>0</v>
      </c>
    </row>
    <row r="69" spans="1:10" s="130" customFormat="1" hidden="1" x14ac:dyDescent="0.25">
      <c r="A69" s="188"/>
      <c r="B69" s="171">
        <v>3293</v>
      </c>
      <c r="C69" s="149"/>
      <c r="D69" s="223" t="s">
        <v>145</v>
      </c>
      <c r="E69" s="153" t="e">
        <f>E70</f>
        <v>#REF!</v>
      </c>
      <c r="F69" s="153" t="e">
        <f t="shared" ref="F69:J69" si="37">F70</f>
        <v>#REF!</v>
      </c>
      <c r="G69" s="153"/>
      <c r="H69" s="153">
        <f t="shared" si="37"/>
        <v>0</v>
      </c>
      <c r="I69" s="153">
        <f t="shared" si="37"/>
        <v>0</v>
      </c>
      <c r="J69" s="153">
        <f t="shared" si="37"/>
        <v>0</v>
      </c>
    </row>
    <row r="70" spans="1:10" s="130" customFormat="1" hidden="1" x14ac:dyDescent="0.25">
      <c r="A70" s="188"/>
      <c r="B70" s="174">
        <v>32931</v>
      </c>
      <c r="C70" s="131"/>
      <c r="D70" s="222" t="s">
        <v>145</v>
      </c>
      <c r="E70" s="161" t="e">
        <f>'Rekapitulacija Posebni dio'!#REF!</f>
        <v>#REF!</v>
      </c>
      <c r="F70" s="161" t="e">
        <f>'Rekapitulacija Posebni dio'!#REF!</f>
        <v>#REF!</v>
      </c>
      <c r="G70" s="161"/>
      <c r="H70" s="161">
        <v>0</v>
      </c>
      <c r="I70" s="161">
        <v>0</v>
      </c>
      <c r="J70" s="161">
        <v>0</v>
      </c>
    </row>
    <row r="71" spans="1:10" s="130" customFormat="1" x14ac:dyDescent="0.25">
      <c r="A71" s="188"/>
      <c r="B71" s="171">
        <v>3299</v>
      </c>
      <c r="C71" s="149"/>
      <c r="D71" s="223" t="s">
        <v>141</v>
      </c>
      <c r="E71" s="153" t="e">
        <f>E72</f>
        <v>#REF!</v>
      </c>
      <c r="F71" s="153" t="e">
        <f t="shared" ref="F71:J71" si="38">F72</f>
        <v>#REF!</v>
      </c>
      <c r="G71" s="153">
        <f t="shared" si="38"/>
        <v>18000</v>
      </c>
      <c r="H71" s="153">
        <f t="shared" si="38"/>
        <v>18000</v>
      </c>
      <c r="I71" s="153">
        <f t="shared" si="38"/>
        <v>18000</v>
      </c>
      <c r="J71" s="153">
        <f t="shared" si="38"/>
        <v>18000</v>
      </c>
    </row>
    <row r="72" spans="1:10" s="130" customFormat="1" x14ac:dyDescent="0.25">
      <c r="A72" s="188"/>
      <c r="B72" s="174">
        <v>32999</v>
      </c>
      <c r="C72" s="131"/>
      <c r="D72" s="222" t="s">
        <v>141</v>
      </c>
      <c r="E72" s="161" t="e">
        <f>'Rekapitulacija Posebni dio'!#REF!</f>
        <v>#REF!</v>
      </c>
      <c r="F72" s="161" t="e">
        <f>'Rekapitulacija Posebni dio'!#REF!</f>
        <v>#REF!</v>
      </c>
      <c r="G72" s="161">
        <f>'Rekapitulacija Posebni dio'!E567</f>
        <v>18000</v>
      </c>
      <c r="H72" s="161">
        <f>'Rekapitulacija Posebni dio'!F567</f>
        <v>18000</v>
      </c>
      <c r="I72" s="161">
        <f>'Rekapitulacija Posebni dio'!G567</f>
        <v>18000</v>
      </c>
      <c r="J72" s="161">
        <f>'Rekapitulacija Posebni dio'!H567</f>
        <v>18000</v>
      </c>
    </row>
    <row r="73" spans="1:10" s="130" customFormat="1" x14ac:dyDescent="0.25">
      <c r="A73" s="248">
        <v>4</v>
      </c>
      <c r="B73" s="231"/>
      <c r="C73" s="195"/>
      <c r="D73" s="282" t="s">
        <v>171</v>
      </c>
      <c r="E73" s="198" t="e">
        <f>E74+E78+E103</f>
        <v>#REF!</v>
      </c>
      <c r="F73" s="198" t="e">
        <f>F74+F78+F103</f>
        <v>#REF!</v>
      </c>
      <c r="G73" s="198">
        <f>G74+G78+G103</f>
        <v>275400</v>
      </c>
      <c r="H73" s="198">
        <f>H74+H78+H103</f>
        <v>769502.99</v>
      </c>
      <c r="I73" s="198">
        <f t="shared" ref="I73:J73" si="39">I74+I78+I103</f>
        <v>769502.99</v>
      </c>
      <c r="J73" s="198">
        <f t="shared" si="39"/>
        <v>769502.99</v>
      </c>
    </row>
    <row r="74" spans="1:10" s="117" customFormat="1" x14ac:dyDescent="0.25">
      <c r="A74" s="213"/>
      <c r="B74" s="132" t="s">
        <v>172</v>
      </c>
      <c r="C74" s="199"/>
      <c r="D74" s="212" t="s">
        <v>173</v>
      </c>
      <c r="E74" s="165" t="e">
        <f>E75</f>
        <v>#REF!</v>
      </c>
      <c r="F74" s="165" t="e">
        <f t="shared" ref="F74:J76" si="40">F75</f>
        <v>#REF!</v>
      </c>
      <c r="G74" s="165">
        <f t="shared" si="40"/>
        <v>3000</v>
      </c>
      <c r="H74" s="165">
        <f t="shared" si="40"/>
        <v>1300</v>
      </c>
      <c r="I74" s="165">
        <f t="shared" si="40"/>
        <v>1300</v>
      </c>
      <c r="J74" s="165">
        <f t="shared" si="40"/>
        <v>1300</v>
      </c>
    </row>
    <row r="75" spans="1:10" s="130" customFormat="1" x14ac:dyDescent="0.25">
      <c r="A75" s="188"/>
      <c r="B75" s="166">
        <v>412</v>
      </c>
      <c r="C75" s="149"/>
      <c r="D75" s="227" t="s">
        <v>178</v>
      </c>
      <c r="E75" s="153" t="e">
        <f>E76</f>
        <v>#REF!</v>
      </c>
      <c r="F75" s="153" t="e">
        <f t="shared" si="40"/>
        <v>#REF!</v>
      </c>
      <c r="G75" s="153">
        <f t="shared" si="40"/>
        <v>3000</v>
      </c>
      <c r="H75" s="153">
        <f t="shared" si="40"/>
        <v>1300</v>
      </c>
      <c r="I75" s="153">
        <f t="shared" si="40"/>
        <v>1300</v>
      </c>
      <c r="J75" s="153">
        <f t="shared" si="40"/>
        <v>1300</v>
      </c>
    </row>
    <row r="76" spans="1:10" s="130" customFormat="1" x14ac:dyDescent="0.25">
      <c r="A76" s="188"/>
      <c r="B76" s="166">
        <v>4123</v>
      </c>
      <c r="C76" s="149"/>
      <c r="D76" s="227" t="s">
        <v>178</v>
      </c>
      <c r="E76" s="153" t="e">
        <f>E77</f>
        <v>#REF!</v>
      </c>
      <c r="F76" s="153" t="e">
        <f t="shared" si="40"/>
        <v>#REF!</v>
      </c>
      <c r="G76" s="153">
        <f t="shared" si="40"/>
        <v>3000</v>
      </c>
      <c r="H76" s="153">
        <f t="shared" si="40"/>
        <v>1300</v>
      </c>
      <c r="I76" s="153">
        <f t="shared" si="40"/>
        <v>1300</v>
      </c>
      <c r="J76" s="153">
        <f t="shared" si="40"/>
        <v>1300</v>
      </c>
    </row>
    <row r="77" spans="1:10" s="117" customFormat="1" x14ac:dyDescent="0.25">
      <c r="A77" s="213"/>
      <c r="B77" s="181">
        <v>41231</v>
      </c>
      <c r="C77" s="131"/>
      <c r="D77" s="224" t="s">
        <v>179</v>
      </c>
      <c r="E77" s="161" t="e">
        <f>'Rekapitulacija Posebni dio'!#REF!</f>
        <v>#REF!</v>
      </c>
      <c r="F77" s="161" t="e">
        <f>'Rekapitulacija Posebni dio'!#REF!</f>
        <v>#REF!</v>
      </c>
      <c r="G77" s="161">
        <f>'Rekapitulacija Posebni dio'!E482</f>
        <v>3000</v>
      </c>
      <c r="H77" s="161">
        <f>'Rekapitulacija Posebni dio'!F482</f>
        <v>1300</v>
      </c>
      <c r="I77" s="161">
        <f>'Rekapitulacija Posebni dio'!G482</f>
        <v>1300</v>
      </c>
      <c r="J77" s="161">
        <f>'Rekapitulacija Posebni dio'!H482</f>
        <v>1300</v>
      </c>
    </row>
    <row r="78" spans="1:10" s="117" customFormat="1" x14ac:dyDescent="0.25">
      <c r="A78" s="213"/>
      <c r="B78" s="132">
        <v>42</v>
      </c>
      <c r="C78" s="199"/>
      <c r="D78" s="212" t="s">
        <v>180</v>
      </c>
      <c r="E78" s="165" t="e">
        <f>SUM(E82,E97,E100)</f>
        <v>#REF!</v>
      </c>
      <c r="F78" s="165" t="e">
        <f>SUM(F82,F97,F100)</f>
        <v>#REF!</v>
      </c>
      <c r="G78" s="165">
        <f>SUM(G79,G82,G97,G100)</f>
        <v>193400</v>
      </c>
      <c r="H78" s="165">
        <f>SUM(H79,H82,H97,H100)</f>
        <v>592202.99</v>
      </c>
      <c r="I78" s="165">
        <f t="shared" ref="I78:J78" si="41">SUM(I79,I82,I97,I100)</f>
        <v>592202.99</v>
      </c>
      <c r="J78" s="165">
        <f t="shared" si="41"/>
        <v>592202.99</v>
      </c>
    </row>
    <row r="79" spans="1:10" s="117" customFormat="1" x14ac:dyDescent="0.25">
      <c r="A79" s="213"/>
      <c r="B79" s="150" t="s">
        <v>203</v>
      </c>
      <c r="C79" s="188"/>
      <c r="D79" s="380" t="s">
        <v>204</v>
      </c>
      <c r="E79" s="153"/>
      <c r="F79" s="153"/>
      <c r="G79" s="153">
        <f>G80</f>
        <v>0</v>
      </c>
      <c r="H79" s="153">
        <f>H80</f>
        <v>3062.5</v>
      </c>
      <c r="I79" s="153">
        <f t="shared" ref="I79:J80" si="42">I80</f>
        <v>3062.5</v>
      </c>
      <c r="J79" s="153">
        <f t="shared" si="42"/>
        <v>3062.5</v>
      </c>
    </row>
    <row r="80" spans="1:10" s="117" customFormat="1" x14ac:dyDescent="0.25">
      <c r="A80" s="213"/>
      <c r="B80" s="150" t="s">
        <v>205</v>
      </c>
      <c r="C80" s="188"/>
      <c r="D80" s="380" t="s">
        <v>206</v>
      </c>
      <c r="E80" s="153"/>
      <c r="F80" s="153"/>
      <c r="G80" s="153">
        <f>G81</f>
        <v>0</v>
      </c>
      <c r="H80" s="153">
        <f>H81</f>
        <v>3062.5</v>
      </c>
      <c r="I80" s="153">
        <f t="shared" si="42"/>
        <v>3062.5</v>
      </c>
      <c r="J80" s="153">
        <f t="shared" si="42"/>
        <v>3062.5</v>
      </c>
    </row>
    <row r="81" spans="1:10" s="117" customFormat="1" ht="31.5" x14ac:dyDescent="0.25">
      <c r="A81" s="213"/>
      <c r="B81" s="214" t="s">
        <v>684</v>
      </c>
      <c r="C81" s="213"/>
      <c r="D81" s="383" t="s">
        <v>670</v>
      </c>
      <c r="E81" s="161"/>
      <c r="F81" s="161"/>
      <c r="G81" s="161">
        <f>'Rekapitulacija Posebni dio'!E486</f>
        <v>0</v>
      </c>
      <c r="H81" s="161">
        <f>'Rekapitulacija Posebni dio'!F486</f>
        <v>3062.5</v>
      </c>
      <c r="I81" s="161">
        <f>'Rekapitulacija Posebni dio'!G486</f>
        <v>3062.5</v>
      </c>
      <c r="J81" s="161">
        <f>'Rekapitulacija Posebni dio'!H486</f>
        <v>3062.5</v>
      </c>
    </row>
    <row r="82" spans="1:10" s="117" customFormat="1" x14ac:dyDescent="0.25">
      <c r="A82" s="213"/>
      <c r="B82" s="150">
        <v>422</v>
      </c>
      <c r="C82" s="213"/>
      <c r="D82" s="188" t="s">
        <v>181</v>
      </c>
      <c r="E82" s="153" t="e">
        <f>E83+E86+E88+E91+E93</f>
        <v>#REF!</v>
      </c>
      <c r="F82" s="153" t="e">
        <f t="shared" ref="F82" si="43">F83+F86+F88+F91+F93</f>
        <v>#REF!</v>
      </c>
      <c r="G82" s="153">
        <f>G83+G86+G88+G91+G93+G95</f>
        <v>173400</v>
      </c>
      <c r="H82" s="153">
        <f>H83+H86+H88+H91+H93+H95</f>
        <v>479140.49</v>
      </c>
      <c r="I82" s="153">
        <f t="shared" ref="I82:J82" si="44">I83+I86+I88+I91+I93+I95</f>
        <v>479140.49</v>
      </c>
      <c r="J82" s="153">
        <f t="shared" si="44"/>
        <v>479140.49</v>
      </c>
    </row>
    <row r="83" spans="1:10" s="117" customFormat="1" x14ac:dyDescent="0.25">
      <c r="A83" s="213"/>
      <c r="B83" s="150" t="s">
        <v>182</v>
      </c>
      <c r="C83" s="188"/>
      <c r="D83" s="188" t="s">
        <v>183</v>
      </c>
      <c r="E83" s="153" t="e">
        <f t="shared" ref="E83" si="45">SUM(E84:E85)</f>
        <v>#REF!</v>
      </c>
      <c r="F83" s="153" t="e">
        <f t="shared" ref="F83:J83" si="46">SUM(F84:F85)</f>
        <v>#REF!</v>
      </c>
      <c r="G83" s="153">
        <f>SUM(G84:G85)</f>
        <v>29600</v>
      </c>
      <c r="H83" s="153">
        <f>SUM(H84:H85)</f>
        <v>74651.66</v>
      </c>
      <c r="I83" s="153">
        <f t="shared" si="46"/>
        <v>74651.66</v>
      </c>
      <c r="J83" s="153">
        <f t="shared" si="46"/>
        <v>74651.66</v>
      </c>
    </row>
    <row r="84" spans="1:10" s="117" customFormat="1" x14ac:dyDescent="0.25">
      <c r="A84" s="213"/>
      <c r="B84" s="214" t="s">
        <v>527</v>
      </c>
      <c r="C84" s="213"/>
      <c r="D84" s="213" t="s">
        <v>460</v>
      </c>
      <c r="E84" s="161" t="e">
        <f>'Rekapitulacija Posebni dio'!C489+'Rekapitulacija Posebni dio'!#REF!+'Rekapitulacija Posebni dio'!#REF!</f>
        <v>#REF!</v>
      </c>
      <c r="F84" s="161" t="e">
        <f>'Rekapitulacija Posebni dio'!D489+'Rekapitulacija Posebni dio'!#REF!+'Rekapitulacija Posebni dio'!#REF!</f>
        <v>#REF!</v>
      </c>
      <c r="G84" s="161">
        <f>'Rekapitulacija Posebni dio'!E489</f>
        <v>19000</v>
      </c>
      <c r="H84" s="161">
        <f>'Rekapitulacija Posebni dio'!F489</f>
        <v>43776.66</v>
      </c>
      <c r="I84" s="161">
        <f>'Rekapitulacija Posebni dio'!G489</f>
        <v>43776.66</v>
      </c>
      <c r="J84" s="161">
        <f>'Rekapitulacija Posebni dio'!H489</f>
        <v>43776.66</v>
      </c>
    </row>
    <row r="85" spans="1:10" s="117" customFormat="1" x14ac:dyDescent="0.25">
      <c r="A85" s="213"/>
      <c r="B85" s="214" t="s">
        <v>522</v>
      </c>
      <c r="C85" s="213"/>
      <c r="D85" s="213" t="s">
        <v>461</v>
      </c>
      <c r="E85" s="161" t="e">
        <f>'Rekapitulacija Posebni dio'!C490+'Rekapitulacija Posebni dio'!#REF!+'Rekapitulacija Posebni dio'!#REF!</f>
        <v>#REF!</v>
      </c>
      <c r="F85" s="161" t="e">
        <f>'Rekapitulacija Posebni dio'!D490+'Rekapitulacija Posebni dio'!#REF!+'Rekapitulacija Posebni dio'!#REF!</f>
        <v>#REF!</v>
      </c>
      <c r="G85" s="161">
        <f>'Rekapitulacija Posebni dio'!E490</f>
        <v>10600</v>
      </c>
      <c r="H85" s="161">
        <f>'Rekapitulacija Posebni dio'!F490</f>
        <v>30875</v>
      </c>
      <c r="I85" s="161">
        <f>'Rekapitulacija Posebni dio'!G490</f>
        <v>30875</v>
      </c>
      <c r="J85" s="161">
        <f>'Rekapitulacija Posebni dio'!H490</f>
        <v>30875</v>
      </c>
    </row>
    <row r="86" spans="1:10" s="130" customFormat="1" x14ac:dyDescent="0.25">
      <c r="A86" s="188"/>
      <c r="B86" s="150" t="s">
        <v>184</v>
      </c>
      <c r="C86" s="188"/>
      <c r="D86" s="188" t="s">
        <v>185</v>
      </c>
      <c r="E86" s="153" t="e">
        <f>E87</f>
        <v>#REF!</v>
      </c>
      <c r="F86" s="153" t="e">
        <f t="shared" ref="F86:J86" si="47">F87</f>
        <v>#REF!</v>
      </c>
      <c r="G86" s="153">
        <f t="shared" si="47"/>
        <v>0</v>
      </c>
      <c r="H86" s="153">
        <f t="shared" si="47"/>
        <v>61.19</v>
      </c>
      <c r="I86" s="153">
        <f t="shared" si="47"/>
        <v>61.19</v>
      </c>
      <c r="J86" s="153">
        <f t="shared" si="47"/>
        <v>61.19</v>
      </c>
    </row>
    <row r="87" spans="1:10" s="117" customFormat="1" x14ac:dyDescent="0.25">
      <c r="A87" s="213"/>
      <c r="B87" s="214" t="s">
        <v>642</v>
      </c>
      <c r="C87" s="213"/>
      <c r="D87" s="389" t="s">
        <v>641</v>
      </c>
      <c r="E87" s="161" t="e">
        <f>'Rekapitulacija Posebni dio'!#REF!</f>
        <v>#REF!</v>
      </c>
      <c r="F87" s="161" t="e">
        <f>'Rekapitulacija Posebni dio'!#REF!</f>
        <v>#REF!</v>
      </c>
      <c r="G87" s="161">
        <f>'Rekapitulacija Posebni dio'!E492</f>
        <v>0</v>
      </c>
      <c r="H87" s="161">
        <f>'Rekapitulacija Posebni dio'!F492</f>
        <v>61.19</v>
      </c>
      <c r="I87" s="161">
        <f>'Rekapitulacija Posebni dio'!G492</f>
        <v>61.19</v>
      </c>
      <c r="J87" s="161">
        <f>'Rekapitulacija Posebni dio'!H492</f>
        <v>61.19</v>
      </c>
    </row>
    <row r="88" spans="1:10" s="117" customFormat="1" x14ac:dyDescent="0.25">
      <c r="A88" s="213"/>
      <c r="B88" s="150" t="s">
        <v>225</v>
      </c>
      <c r="C88" s="188"/>
      <c r="D88" s="188" t="s">
        <v>307</v>
      </c>
      <c r="E88" s="153" t="e">
        <f t="shared" ref="E88:F88" si="48">E90</f>
        <v>#REF!</v>
      </c>
      <c r="F88" s="153" t="e">
        <f t="shared" si="48"/>
        <v>#REF!</v>
      </c>
      <c r="G88" s="153">
        <f>G89+G90</f>
        <v>8000</v>
      </c>
      <c r="H88" s="153">
        <f t="shared" ref="H88:J88" si="49">H89+H90</f>
        <v>9191.75</v>
      </c>
      <c r="I88" s="153">
        <f t="shared" si="49"/>
        <v>9191.75</v>
      </c>
      <c r="J88" s="153">
        <f t="shared" si="49"/>
        <v>9191.75</v>
      </c>
    </row>
    <row r="89" spans="1:10" s="117" customFormat="1" x14ac:dyDescent="0.25">
      <c r="A89" s="213"/>
      <c r="B89" s="214" t="s">
        <v>685</v>
      </c>
      <c r="C89" s="213"/>
      <c r="D89" s="213" t="s">
        <v>464</v>
      </c>
      <c r="E89" s="161"/>
      <c r="F89" s="161"/>
      <c r="G89" s="161">
        <f>'Rekapitulacija Posebni dio'!E494</f>
        <v>8000</v>
      </c>
      <c r="H89" s="161">
        <f>'Rekapitulacija Posebni dio'!F494</f>
        <v>0</v>
      </c>
      <c r="I89" s="161">
        <f>'Rekapitulacija Posebni dio'!G494</f>
        <v>0</v>
      </c>
      <c r="J89" s="161">
        <f>'Rekapitulacija Posebni dio'!H494</f>
        <v>0</v>
      </c>
    </row>
    <row r="90" spans="1:10" s="117" customFormat="1" x14ac:dyDescent="0.25">
      <c r="A90" s="213"/>
      <c r="B90" s="214" t="s">
        <v>685</v>
      </c>
      <c r="C90" s="213"/>
      <c r="D90" s="213" t="s">
        <v>463</v>
      </c>
      <c r="E90" s="161" t="e">
        <f>'Rekapitulacija Posebni dio'!C495+'Rekapitulacija Posebni dio'!#REF!+'Rekapitulacija Posebni dio'!#REF!</f>
        <v>#REF!</v>
      </c>
      <c r="F90" s="161" t="e">
        <f>'Rekapitulacija Posebni dio'!D495+'Rekapitulacija Posebni dio'!#REF!+'Rekapitulacija Posebni dio'!#REF!</f>
        <v>#REF!</v>
      </c>
      <c r="G90" s="161">
        <f>'Rekapitulacija Posebni dio'!E495</f>
        <v>0</v>
      </c>
      <c r="H90" s="161">
        <f>'Rekapitulacija Posebni dio'!F495</f>
        <v>9191.75</v>
      </c>
      <c r="I90" s="161">
        <f>'Rekapitulacija Posebni dio'!G495</f>
        <v>9191.75</v>
      </c>
      <c r="J90" s="161">
        <f>'Rekapitulacija Posebni dio'!H495</f>
        <v>9191.75</v>
      </c>
    </row>
    <row r="91" spans="1:10" s="117" customFormat="1" x14ac:dyDescent="0.25">
      <c r="A91" s="213"/>
      <c r="B91" s="171">
        <v>4224</v>
      </c>
      <c r="C91" s="154"/>
      <c r="D91" s="236" t="s">
        <v>187</v>
      </c>
      <c r="E91" s="153" t="e">
        <f t="shared" ref="E91:J91" si="50">SUM(E92)</f>
        <v>#REF!</v>
      </c>
      <c r="F91" s="153" t="e">
        <f t="shared" si="50"/>
        <v>#REF!</v>
      </c>
      <c r="G91" s="153">
        <f t="shared" si="50"/>
        <v>120800</v>
      </c>
      <c r="H91" s="153">
        <f t="shared" si="50"/>
        <v>376267.39</v>
      </c>
      <c r="I91" s="153">
        <f t="shared" si="50"/>
        <v>376267.39</v>
      </c>
      <c r="J91" s="153">
        <f t="shared" si="50"/>
        <v>376267.39</v>
      </c>
    </row>
    <row r="92" spans="1:10" s="117" customFormat="1" x14ac:dyDescent="0.25">
      <c r="A92" s="177"/>
      <c r="B92" s="174">
        <v>42241</v>
      </c>
      <c r="C92" s="158"/>
      <c r="D92" s="237" t="s">
        <v>465</v>
      </c>
      <c r="E92" s="161" t="e">
        <f>'Rekapitulacija Posebni dio'!C497+'Rekapitulacija Posebni dio'!#REF!+'Rekapitulacija Posebni dio'!#REF!</f>
        <v>#REF!</v>
      </c>
      <c r="F92" s="161" t="e">
        <f>'Rekapitulacija Posebni dio'!D497+'Rekapitulacija Posebni dio'!#REF!+'Rekapitulacija Posebni dio'!#REF!</f>
        <v>#REF!</v>
      </c>
      <c r="G92" s="161">
        <f>'Rekapitulacija Posebni dio'!E497</f>
        <v>120800</v>
      </c>
      <c r="H92" s="161">
        <f>'Rekapitulacija Posebni dio'!F497</f>
        <v>376267.39</v>
      </c>
      <c r="I92" s="161">
        <f>'Rekapitulacija Posebni dio'!G497</f>
        <v>376267.39</v>
      </c>
      <c r="J92" s="161">
        <f>'Rekapitulacija Posebni dio'!H497</f>
        <v>376267.39</v>
      </c>
    </row>
    <row r="93" spans="1:10" s="117" customFormat="1" x14ac:dyDescent="0.25">
      <c r="A93" s="177"/>
      <c r="B93" s="171">
        <v>4225</v>
      </c>
      <c r="C93" s="154"/>
      <c r="D93" s="236" t="s">
        <v>188</v>
      </c>
      <c r="E93" s="153" t="e">
        <f t="shared" ref="E93:J93" si="51">SUM(E94)</f>
        <v>#REF!</v>
      </c>
      <c r="F93" s="153" t="e">
        <f t="shared" si="51"/>
        <v>#REF!</v>
      </c>
      <c r="G93" s="153">
        <f t="shared" si="51"/>
        <v>15000</v>
      </c>
      <c r="H93" s="153">
        <f t="shared" si="51"/>
        <v>15000</v>
      </c>
      <c r="I93" s="153">
        <f t="shared" si="51"/>
        <v>15000</v>
      </c>
      <c r="J93" s="153">
        <f t="shared" si="51"/>
        <v>15000</v>
      </c>
    </row>
    <row r="94" spans="1:10" s="117" customFormat="1" x14ac:dyDescent="0.25">
      <c r="A94" s="177"/>
      <c r="B94" s="174">
        <v>42251</v>
      </c>
      <c r="C94" s="158"/>
      <c r="D94" s="237" t="s">
        <v>671</v>
      </c>
      <c r="E94" s="161" t="e">
        <f>'Rekapitulacija Posebni dio'!C499+'Rekapitulacija Posebni dio'!#REF!+'Rekapitulacija Posebni dio'!#REF!</f>
        <v>#REF!</v>
      </c>
      <c r="F94" s="161" t="e">
        <f>'Rekapitulacija Posebni dio'!D499+'Rekapitulacija Posebni dio'!#REF!+'Rekapitulacija Posebni dio'!#REF!</f>
        <v>#REF!</v>
      </c>
      <c r="G94" s="161">
        <f>'Rekapitulacija Posebni dio'!E499</f>
        <v>15000</v>
      </c>
      <c r="H94" s="161">
        <f>'Rekapitulacija Posebni dio'!F499</f>
        <v>15000</v>
      </c>
      <c r="I94" s="161">
        <f>'Rekapitulacija Posebni dio'!G499</f>
        <v>15000</v>
      </c>
      <c r="J94" s="161">
        <f>'Rekapitulacija Posebni dio'!H499</f>
        <v>15000</v>
      </c>
    </row>
    <row r="95" spans="1:10" s="130" customFormat="1" x14ac:dyDescent="0.25">
      <c r="A95" s="155"/>
      <c r="B95" s="171">
        <v>4227</v>
      </c>
      <c r="C95" s="154"/>
      <c r="D95" s="236" t="s">
        <v>189</v>
      </c>
      <c r="E95" s="153"/>
      <c r="F95" s="153"/>
      <c r="G95" s="153"/>
      <c r="H95" s="153">
        <f>H96</f>
        <v>3968.5</v>
      </c>
      <c r="I95" s="153">
        <f t="shared" ref="I95:J95" si="52">I96</f>
        <v>3968.5</v>
      </c>
      <c r="J95" s="153">
        <f t="shared" si="52"/>
        <v>3968.5</v>
      </c>
    </row>
    <row r="96" spans="1:10" s="117" customFormat="1" x14ac:dyDescent="0.25">
      <c r="A96" s="177"/>
      <c r="B96" s="174">
        <v>42271</v>
      </c>
      <c r="C96" s="158"/>
      <c r="D96" s="237" t="s">
        <v>672</v>
      </c>
      <c r="E96" s="161"/>
      <c r="F96" s="161"/>
      <c r="G96" s="161">
        <f>'Rekapitulacija Posebni dio'!E501</f>
        <v>0</v>
      </c>
      <c r="H96" s="161">
        <f>'Rekapitulacija Posebni dio'!F501</f>
        <v>3968.5</v>
      </c>
      <c r="I96" s="161">
        <f>'Rekapitulacija Posebni dio'!G501</f>
        <v>3968.5</v>
      </c>
      <c r="J96" s="161">
        <f>'Rekapitulacija Posebni dio'!H501</f>
        <v>3968.5</v>
      </c>
    </row>
    <row r="97" spans="1:10" s="130" customFormat="1" x14ac:dyDescent="0.25">
      <c r="A97" s="155"/>
      <c r="B97" s="371">
        <v>423</v>
      </c>
      <c r="C97" s="154"/>
      <c r="D97" s="384" t="s">
        <v>190</v>
      </c>
      <c r="E97" s="153" t="e">
        <f>E98</f>
        <v>#REF!</v>
      </c>
      <c r="F97" s="153" t="e">
        <f t="shared" ref="F97:J98" si="53">F98</f>
        <v>#REF!</v>
      </c>
      <c r="G97" s="153">
        <f t="shared" si="53"/>
        <v>18000</v>
      </c>
      <c r="H97" s="153">
        <f t="shared" si="53"/>
        <v>108000</v>
      </c>
      <c r="I97" s="153">
        <f t="shared" si="53"/>
        <v>108000</v>
      </c>
      <c r="J97" s="153">
        <f t="shared" si="53"/>
        <v>108000</v>
      </c>
    </row>
    <row r="98" spans="1:10" s="130" customFormat="1" x14ac:dyDescent="0.25">
      <c r="A98" s="155"/>
      <c r="B98" s="371">
        <v>4231</v>
      </c>
      <c r="C98" s="154"/>
      <c r="D98" s="384" t="s">
        <v>80</v>
      </c>
      <c r="E98" s="153" t="e">
        <f>E99</f>
        <v>#REF!</v>
      </c>
      <c r="F98" s="153" t="e">
        <f t="shared" si="53"/>
        <v>#REF!</v>
      </c>
      <c r="G98" s="153">
        <f t="shared" si="53"/>
        <v>18000</v>
      </c>
      <c r="H98" s="153">
        <f t="shared" si="53"/>
        <v>108000</v>
      </c>
      <c r="I98" s="153">
        <f t="shared" si="53"/>
        <v>108000</v>
      </c>
      <c r="J98" s="153">
        <f t="shared" si="53"/>
        <v>108000</v>
      </c>
    </row>
    <row r="99" spans="1:10" s="117" customFormat="1" x14ac:dyDescent="0.25">
      <c r="A99" s="177"/>
      <c r="B99" s="290">
        <v>42311</v>
      </c>
      <c r="C99" s="158"/>
      <c r="D99" s="297" t="s">
        <v>467</v>
      </c>
      <c r="E99" s="161" t="e">
        <f>'Rekapitulacija Posebni dio'!#REF!</f>
        <v>#REF!</v>
      </c>
      <c r="F99" s="161" t="e">
        <f>'Rekapitulacija Posebni dio'!#REF!</f>
        <v>#REF!</v>
      </c>
      <c r="G99" s="161">
        <f>'Rekapitulacija Posebni dio'!E504</f>
        <v>18000</v>
      </c>
      <c r="H99" s="161">
        <f>'Rekapitulacija Posebni dio'!F504</f>
        <v>108000</v>
      </c>
      <c r="I99" s="161">
        <f>'Rekapitulacija Posebni dio'!G504</f>
        <v>108000</v>
      </c>
      <c r="J99" s="161">
        <f>'Rekapitulacija Posebni dio'!H504</f>
        <v>108000</v>
      </c>
    </row>
    <row r="100" spans="1:10" s="130" customFormat="1" x14ac:dyDescent="0.25">
      <c r="A100" s="155"/>
      <c r="B100" s="295">
        <v>426</v>
      </c>
      <c r="C100" s="154"/>
      <c r="D100" s="380" t="s">
        <v>308</v>
      </c>
      <c r="E100" s="153" t="e">
        <f>E101</f>
        <v>#REF!</v>
      </c>
      <c r="F100" s="153" t="e">
        <f t="shared" ref="F100:J101" si="54">F101</f>
        <v>#REF!</v>
      </c>
      <c r="G100" s="153">
        <f t="shared" si="54"/>
        <v>2000</v>
      </c>
      <c r="H100" s="153">
        <f t="shared" si="54"/>
        <v>2000</v>
      </c>
      <c r="I100" s="153">
        <f t="shared" si="54"/>
        <v>2000</v>
      </c>
      <c r="J100" s="153">
        <f t="shared" si="54"/>
        <v>2000</v>
      </c>
    </row>
    <row r="101" spans="1:10" s="130" customFormat="1" x14ac:dyDescent="0.25">
      <c r="A101" s="155"/>
      <c r="B101" s="295">
        <v>4262</v>
      </c>
      <c r="C101" s="154"/>
      <c r="D101" s="380" t="s">
        <v>192</v>
      </c>
      <c r="E101" s="153" t="e">
        <f>E102</f>
        <v>#REF!</v>
      </c>
      <c r="F101" s="153" t="e">
        <f t="shared" si="54"/>
        <v>#REF!</v>
      </c>
      <c r="G101" s="153">
        <f t="shared" si="54"/>
        <v>2000</v>
      </c>
      <c r="H101" s="153">
        <f t="shared" si="54"/>
        <v>2000</v>
      </c>
      <c r="I101" s="153">
        <f t="shared" si="54"/>
        <v>2000</v>
      </c>
      <c r="J101" s="153">
        <f t="shared" si="54"/>
        <v>2000</v>
      </c>
    </row>
    <row r="102" spans="1:10" s="117" customFormat="1" x14ac:dyDescent="0.25">
      <c r="A102" s="177"/>
      <c r="B102" s="292">
        <v>42621</v>
      </c>
      <c r="C102" s="158"/>
      <c r="D102" s="389" t="s">
        <v>192</v>
      </c>
      <c r="E102" s="161" t="e">
        <f>'Rekapitulacija Posebni dio'!#REF!</f>
        <v>#REF!</v>
      </c>
      <c r="F102" s="161" t="e">
        <f>'Rekapitulacija Posebni dio'!#REF!</f>
        <v>#REF!</v>
      </c>
      <c r="G102" s="161">
        <f>'Rekapitulacija Posebni dio'!E507</f>
        <v>2000</v>
      </c>
      <c r="H102" s="161">
        <f>'Rekapitulacija Posebni dio'!F507</f>
        <v>2000</v>
      </c>
      <c r="I102" s="161">
        <f>'Rekapitulacija Posebni dio'!G507</f>
        <v>2000</v>
      </c>
      <c r="J102" s="161">
        <f>'Rekapitulacija Posebni dio'!H507</f>
        <v>2000</v>
      </c>
    </row>
    <row r="103" spans="1:10" s="117" customFormat="1" x14ac:dyDescent="0.25">
      <c r="A103" s="177"/>
      <c r="B103" s="132" t="s">
        <v>193</v>
      </c>
      <c r="C103" s="199"/>
      <c r="D103" s="234" t="s">
        <v>196</v>
      </c>
      <c r="E103" s="165" t="e">
        <f t="shared" ref="E103:J103" si="55">E104</f>
        <v>#REF!</v>
      </c>
      <c r="F103" s="165" t="e">
        <f t="shared" si="55"/>
        <v>#REF!</v>
      </c>
      <c r="G103" s="165">
        <f t="shared" si="55"/>
        <v>79000</v>
      </c>
      <c r="H103" s="165">
        <f t="shared" si="55"/>
        <v>176000</v>
      </c>
      <c r="I103" s="165">
        <f t="shared" si="55"/>
        <v>176000</v>
      </c>
      <c r="J103" s="165">
        <f t="shared" si="55"/>
        <v>176000</v>
      </c>
    </row>
    <row r="104" spans="1:10" s="117" customFormat="1" x14ac:dyDescent="0.25">
      <c r="A104" s="177"/>
      <c r="B104" s="150" t="s">
        <v>195</v>
      </c>
      <c r="C104" s="213"/>
      <c r="D104" s="188" t="s">
        <v>204</v>
      </c>
      <c r="E104" s="153" t="e">
        <f t="shared" ref="E104:J105" si="56">SUM(E105)</f>
        <v>#REF!</v>
      </c>
      <c r="F104" s="153" t="e">
        <f t="shared" si="56"/>
        <v>#REF!</v>
      </c>
      <c r="G104" s="153">
        <f t="shared" si="56"/>
        <v>79000</v>
      </c>
      <c r="H104" s="153">
        <f t="shared" si="56"/>
        <v>176000</v>
      </c>
      <c r="I104" s="153">
        <f t="shared" si="56"/>
        <v>176000</v>
      </c>
      <c r="J104" s="153">
        <f t="shared" si="56"/>
        <v>176000</v>
      </c>
    </row>
    <row r="105" spans="1:10" s="117" customFormat="1" x14ac:dyDescent="0.25">
      <c r="A105" s="177"/>
      <c r="B105" s="150" t="s">
        <v>197</v>
      </c>
      <c r="C105" s="188"/>
      <c r="D105" s="188" t="s">
        <v>196</v>
      </c>
      <c r="E105" s="153" t="e">
        <f t="shared" si="56"/>
        <v>#REF!</v>
      </c>
      <c r="F105" s="153" t="e">
        <f t="shared" si="56"/>
        <v>#REF!</v>
      </c>
      <c r="G105" s="153">
        <f t="shared" si="56"/>
        <v>79000</v>
      </c>
      <c r="H105" s="153">
        <f t="shared" si="56"/>
        <v>176000</v>
      </c>
      <c r="I105" s="153">
        <f t="shared" si="56"/>
        <v>176000</v>
      </c>
      <c r="J105" s="153">
        <f t="shared" si="56"/>
        <v>176000</v>
      </c>
    </row>
    <row r="106" spans="1:10" s="117" customFormat="1" x14ac:dyDescent="0.25">
      <c r="A106" s="177"/>
      <c r="B106" s="214" t="s">
        <v>509</v>
      </c>
      <c r="C106" s="213"/>
      <c r="D106" s="213" t="s">
        <v>196</v>
      </c>
      <c r="E106" s="161" t="e">
        <f>'Rekapitulacija Posebni dio'!C511+'Rekapitulacija Posebni dio'!#REF!+'Rekapitulacija Posebni dio'!#REF!</f>
        <v>#REF!</v>
      </c>
      <c r="F106" s="161" t="e">
        <f>'Rekapitulacija Posebni dio'!D511+'Rekapitulacija Posebni dio'!#REF!+'Rekapitulacija Posebni dio'!#REF!</f>
        <v>#REF!</v>
      </c>
      <c r="G106" s="161">
        <f>'Rekapitulacija Posebni dio'!E511</f>
        <v>79000</v>
      </c>
      <c r="H106" s="161">
        <f>'Rekapitulacija Posebni dio'!F511</f>
        <v>176000</v>
      </c>
      <c r="I106" s="161">
        <f>'Rekapitulacija Posebni dio'!G511</f>
        <v>176000</v>
      </c>
      <c r="J106" s="161">
        <f>'Rekapitulacija Posebni dio'!H511</f>
        <v>176000</v>
      </c>
    </row>
    <row r="107" spans="1:10" s="117" customFormat="1" x14ac:dyDescent="0.25">
      <c r="A107" s="310"/>
      <c r="B107" s="310"/>
      <c r="C107" s="241">
        <v>11</v>
      </c>
      <c r="D107" s="242" t="s">
        <v>15</v>
      </c>
      <c r="E107" s="243" t="e">
        <f t="shared" ref="E107:J107" si="57">E11+E73</f>
        <v>#REF!</v>
      </c>
      <c r="F107" s="243" t="e">
        <f t="shared" si="57"/>
        <v>#REF!</v>
      </c>
      <c r="G107" s="243">
        <f t="shared" si="57"/>
        <v>879378.02</v>
      </c>
      <c r="H107" s="243">
        <f t="shared" si="57"/>
        <v>1250606.02</v>
      </c>
      <c r="I107" s="243">
        <f t="shared" si="57"/>
        <v>1250606.02</v>
      </c>
      <c r="J107" s="243">
        <f t="shared" si="57"/>
        <v>1250606.02</v>
      </c>
    </row>
    <row r="108" spans="1:10" s="117" customFormat="1" x14ac:dyDescent="0.25">
      <c r="A108" s="310"/>
      <c r="B108" s="310"/>
      <c r="C108" s="467" t="s">
        <v>712</v>
      </c>
      <c r="D108" s="468" t="s">
        <v>713</v>
      </c>
      <c r="E108" s="472"/>
      <c r="F108" s="472"/>
      <c r="G108" s="472">
        <f>G107</f>
        <v>879378.02</v>
      </c>
      <c r="H108" s="472">
        <f>H107</f>
        <v>1250606.02</v>
      </c>
      <c r="I108" s="472">
        <f t="shared" ref="I108:J108" si="58">I107</f>
        <v>1250606.02</v>
      </c>
      <c r="J108" s="472">
        <f t="shared" si="58"/>
        <v>1250606.02</v>
      </c>
    </row>
    <row r="109" spans="1:10" s="117" customFormat="1" x14ac:dyDescent="0.25">
      <c r="A109" s="208" t="s">
        <v>83</v>
      </c>
      <c r="B109" s="208"/>
      <c r="C109" s="209"/>
      <c r="D109" s="210" t="s">
        <v>84</v>
      </c>
      <c r="E109" s="211">
        <f t="shared" ref="E109:J109" si="59">E110+E129+E205+E213+E216</f>
        <v>0</v>
      </c>
      <c r="F109" s="211">
        <f t="shared" si="59"/>
        <v>0</v>
      </c>
      <c r="G109" s="211">
        <f t="shared" si="59"/>
        <v>3804916.33</v>
      </c>
      <c r="H109" s="211">
        <f t="shared" si="59"/>
        <v>3804916.33</v>
      </c>
      <c r="I109" s="211">
        <f t="shared" si="59"/>
        <v>3850540.33</v>
      </c>
      <c r="J109" s="211">
        <f t="shared" si="59"/>
        <v>3882388.81</v>
      </c>
    </row>
    <row r="110" spans="1:10" s="117" customFormat="1" x14ac:dyDescent="0.25">
      <c r="A110" s="188"/>
      <c r="B110" s="132">
        <v>31</v>
      </c>
      <c r="C110" s="199"/>
      <c r="D110" s="212" t="s">
        <v>85</v>
      </c>
      <c r="E110" s="135">
        <f t="shared" ref="E110" si="60">E111+E118+E126</f>
        <v>0</v>
      </c>
      <c r="F110" s="135">
        <f t="shared" ref="F110:J110" si="61">F111+F118+F126</f>
        <v>0</v>
      </c>
      <c r="G110" s="135">
        <f t="shared" ref="G110" si="62">G111+G118+G126</f>
        <v>1338150.7</v>
      </c>
      <c r="H110" s="135">
        <f t="shared" si="61"/>
        <v>1338150.7</v>
      </c>
      <c r="I110" s="135">
        <f t="shared" si="61"/>
        <v>1363555.1500000001</v>
      </c>
      <c r="J110" s="135">
        <f t="shared" si="61"/>
        <v>1389467.6900000002</v>
      </c>
    </row>
    <row r="111" spans="1:10" s="117" customFormat="1" x14ac:dyDescent="0.25">
      <c r="A111" s="188"/>
      <c r="B111" s="150">
        <v>311</v>
      </c>
      <c r="C111" s="213"/>
      <c r="D111" s="188" t="s">
        <v>86</v>
      </c>
      <c r="E111" s="153">
        <f t="shared" ref="E111" si="63">E112+E116</f>
        <v>0</v>
      </c>
      <c r="F111" s="153">
        <f t="shared" ref="F111:J111" si="64">F112+F116</f>
        <v>0</v>
      </c>
      <c r="G111" s="153">
        <f t="shared" ref="G111" si="65">G112+G116</f>
        <v>942112.26</v>
      </c>
      <c r="H111" s="153">
        <f t="shared" si="64"/>
        <v>942112.26</v>
      </c>
      <c r="I111" s="153">
        <f t="shared" si="64"/>
        <v>951512.26</v>
      </c>
      <c r="J111" s="153">
        <f t="shared" si="64"/>
        <v>959232.56</v>
      </c>
    </row>
    <row r="112" spans="1:10" s="117" customFormat="1" x14ac:dyDescent="0.25">
      <c r="A112" s="188"/>
      <c r="B112" s="150">
        <v>3111</v>
      </c>
      <c r="C112" s="188"/>
      <c r="D112" s="188" t="s">
        <v>87</v>
      </c>
      <c r="E112" s="153">
        <f t="shared" ref="E112:J112" si="66">SUM(E113)</f>
        <v>0</v>
      </c>
      <c r="F112" s="153">
        <f t="shared" si="66"/>
        <v>0</v>
      </c>
      <c r="G112" s="153">
        <f t="shared" si="66"/>
        <v>942112.26</v>
      </c>
      <c r="H112" s="153">
        <f t="shared" si="66"/>
        <v>942112.26</v>
      </c>
      <c r="I112" s="153">
        <f t="shared" si="66"/>
        <v>951512.26</v>
      </c>
      <c r="J112" s="153">
        <f t="shared" si="66"/>
        <v>959232.56</v>
      </c>
    </row>
    <row r="113" spans="1:10" s="117" customFormat="1" x14ac:dyDescent="0.25">
      <c r="A113" s="213"/>
      <c r="B113" s="214" t="s">
        <v>480</v>
      </c>
      <c r="C113" s="213"/>
      <c r="D113" s="213" t="s">
        <v>87</v>
      </c>
      <c r="E113" s="161">
        <f>'Rekapitulacija Posebni dio'!C221</f>
        <v>0</v>
      </c>
      <c r="F113" s="161">
        <f>'Rekapitulacija Posebni dio'!D221</f>
        <v>0</v>
      </c>
      <c r="G113" s="161">
        <f>'Rekapitulacija Posebni dio'!E221</f>
        <v>942112.26</v>
      </c>
      <c r="H113" s="161">
        <f>'Rekapitulacija Posebni dio'!F221</f>
        <v>942112.26</v>
      </c>
      <c r="I113" s="161">
        <f>'Rekapitulacija Posebni dio'!G221</f>
        <v>951512.26</v>
      </c>
      <c r="J113" s="161">
        <f>'Rekapitulacija Posebni dio'!H221</f>
        <v>959232.56</v>
      </c>
    </row>
    <row r="114" spans="1:10" s="130" customFormat="1" hidden="1" x14ac:dyDescent="0.25">
      <c r="A114" s="213"/>
      <c r="B114" s="150" t="s">
        <v>88</v>
      </c>
      <c r="C114" s="188"/>
      <c r="D114" s="188" t="s">
        <v>89</v>
      </c>
      <c r="E114" s="153"/>
      <c r="F114" s="153"/>
      <c r="G114" s="153"/>
      <c r="H114" s="153"/>
      <c r="I114" s="153"/>
      <c r="J114" s="153"/>
    </row>
    <row r="115" spans="1:10" s="130" customFormat="1" hidden="1" x14ac:dyDescent="0.25">
      <c r="A115" s="213"/>
      <c r="B115" s="150" t="s">
        <v>90</v>
      </c>
      <c r="C115" s="188"/>
      <c r="D115" s="188" t="s">
        <v>91</v>
      </c>
      <c r="E115" s="153"/>
      <c r="F115" s="153"/>
      <c r="G115" s="153"/>
      <c r="H115" s="153"/>
      <c r="I115" s="153"/>
      <c r="J115" s="153"/>
    </row>
    <row r="116" spans="1:10" s="130" customFormat="1" hidden="1" x14ac:dyDescent="0.25">
      <c r="A116" s="213"/>
      <c r="B116" s="150" t="s">
        <v>92</v>
      </c>
      <c r="C116" s="188"/>
      <c r="D116" s="188" t="s">
        <v>93</v>
      </c>
      <c r="E116" s="153">
        <f t="shared" ref="E116:J116" si="67">SUM(E117)</f>
        <v>0</v>
      </c>
      <c r="F116" s="153">
        <f t="shared" si="67"/>
        <v>0</v>
      </c>
      <c r="G116" s="153"/>
      <c r="H116" s="153">
        <f t="shared" si="67"/>
        <v>0</v>
      </c>
      <c r="I116" s="153">
        <f t="shared" si="67"/>
        <v>0</v>
      </c>
      <c r="J116" s="153">
        <f t="shared" si="67"/>
        <v>0</v>
      </c>
    </row>
    <row r="117" spans="1:10" s="117" customFormat="1" ht="15.75" hidden="1" customHeight="1" x14ac:dyDescent="0.25">
      <c r="A117" s="213"/>
      <c r="B117" s="214" t="s">
        <v>483</v>
      </c>
      <c r="C117" s="213"/>
      <c r="D117" s="213" t="s">
        <v>93</v>
      </c>
      <c r="E117" s="161">
        <f>'Rekapitulacija Posebni dio'!C225</f>
        <v>0</v>
      </c>
      <c r="F117" s="161">
        <f>'Rekapitulacija Posebni dio'!D225</f>
        <v>0</v>
      </c>
      <c r="G117" s="161"/>
      <c r="H117" s="161">
        <f>'Rekapitulacija Posebni dio'!F225</f>
        <v>0</v>
      </c>
      <c r="I117" s="161">
        <f>'Rekapitulacija Posebni dio'!G225</f>
        <v>0</v>
      </c>
      <c r="J117" s="161">
        <f>'Rekapitulacija Posebni dio'!H225</f>
        <v>0</v>
      </c>
    </row>
    <row r="118" spans="1:10" s="117" customFormat="1" ht="15.75" customHeight="1" x14ac:dyDescent="0.25">
      <c r="A118" s="188"/>
      <c r="B118" s="150" t="s">
        <v>94</v>
      </c>
      <c r="C118" s="188"/>
      <c r="D118" s="188" t="s">
        <v>95</v>
      </c>
      <c r="E118" s="153">
        <f t="shared" ref="E118:J118" si="68">SUM(E119)</f>
        <v>0</v>
      </c>
      <c r="F118" s="153">
        <f t="shared" si="68"/>
        <v>0</v>
      </c>
      <c r="G118" s="153">
        <f t="shared" si="68"/>
        <v>158231.67999999999</v>
      </c>
      <c r="H118" s="153">
        <f t="shared" si="68"/>
        <v>158231.67999999999</v>
      </c>
      <c r="I118" s="153">
        <f t="shared" si="68"/>
        <v>163186.13</v>
      </c>
      <c r="J118" s="153">
        <f t="shared" si="68"/>
        <v>168278.37</v>
      </c>
    </row>
    <row r="119" spans="1:10" s="117" customFormat="1" ht="15.75" customHeight="1" x14ac:dyDescent="0.25">
      <c r="A119" s="188"/>
      <c r="B119" s="150" t="s">
        <v>96</v>
      </c>
      <c r="C119" s="188"/>
      <c r="D119" s="188" t="s">
        <v>95</v>
      </c>
      <c r="E119" s="153">
        <f>SUM(E120:E125)</f>
        <v>0</v>
      </c>
      <c r="F119" s="153">
        <f t="shared" ref="F119:J119" si="69">SUM(F120:F125)</f>
        <v>0</v>
      </c>
      <c r="G119" s="153">
        <f t="shared" ref="G119" si="70">SUM(G120:G125)</f>
        <v>158231.67999999999</v>
      </c>
      <c r="H119" s="153">
        <f t="shared" si="69"/>
        <v>158231.67999999999</v>
      </c>
      <c r="I119" s="153">
        <f t="shared" si="69"/>
        <v>163186.13</v>
      </c>
      <c r="J119" s="153">
        <f t="shared" si="69"/>
        <v>168278.37</v>
      </c>
    </row>
    <row r="120" spans="1:10" s="117" customFormat="1" ht="15.75" customHeight="1" x14ac:dyDescent="0.25">
      <c r="A120" s="213"/>
      <c r="B120" s="214" t="s">
        <v>485</v>
      </c>
      <c r="C120" s="213"/>
      <c r="D120" s="213" t="s">
        <v>400</v>
      </c>
      <c r="E120" s="161">
        <f>'Rekapitulacija Posebni dio'!C228</f>
        <v>0</v>
      </c>
      <c r="F120" s="161">
        <f>'Rekapitulacija Posebni dio'!D228</f>
        <v>0</v>
      </c>
      <c r="G120" s="161">
        <f>'Rekapitulacija Posebni dio'!E228</f>
        <v>9700</v>
      </c>
      <c r="H120" s="161">
        <f>'Rekapitulacija Posebni dio'!F228</f>
        <v>9700</v>
      </c>
      <c r="I120" s="161">
        <f>'Rekapitulacija Posebni dio'!G228</f>
        <v>9950</v>
      </c>
      <c r="J120" s="161">
        <f>'Rekapitulacija Posebni dio'!H228</f>
        <v>10250</v>
      </c>
    </row>
    <row r="121" spans="1:10" s="117" customFormat="1" ht="15.75" customHeight="1" x14ac:dyDescent="0.25">
      <c r="A121" s="213"/>
      <c r="B121" s="214" t="s">
        <v>486</v>
      </c>
      <c r="C121" s="213"/>
      <c r="D121" s="213" t="s">
        <v>399</v>
      </c>
      <c r="E121" s="161">
        <f>'Rekapitulacija Posebni dio'!C229</f>
        <v>0</v>
      </c>
      <c r="F121" s="161">
        <f>'Rekapitulacija Posebni dio'!D229</f>
        <v>0</v>
      </c>
      <c r="G121" s="161">
        <f>'Rekapitulacija Posebni dio'!E229</f>
        <v>16000</v>
      </c>
      <c r="H121" s="161">
        <f>'Rekapitulacija Posebni dio'!F229</f>
        <v>16000</v>
      </c>
      <c r="I121" s="161">
        <f>'Rekapitulacija Posebni dio'!G229</f>
        <v>16500</v>
      </c>
      <c r="J121" s="161">
        <f>'Rekapitulacija Posebni dio'!H229</f>
        <v>17000</v>
      </c>
    </row>
    <row r="122" spans="1:10" s="117" customFormat="1" ht="15.75" customHeight="1" x14ac:dyDescent="0.25">
      <c r="A122" s="213"/>
      <c r="B122" s="214" t="s">
        <v>487</v>
      </c>
      <c r="C122" s="213"/>
      <c r="D122" s="213" t="s">
        <v>401</v>
      </c>
      <c r="E122" s="161">
        <f>'Rekapitulacija Posebni dio'!C230</f>
        <v>0</v>
      </c>
      <c r="F122" s="161">
        <f>'Rekapitulacija Posebni dio'!D230</f>
        <v>0</v>
      </c>
      <c r="G122" s="161">
        <f>'Rekapitulacija Posebni dio'!E230</f>
        <v>10000</v>
      </c>
      <c r="H122" s="161">
        <f>'Rekapitulacija Posebni dio'!F230</f>
        <v>10000</v>
      </c>
      <c r="I122" s="161">
        <f>'Rekapitulacija Posebni dio'!G230</f>
        <v>11000</v>
      </c>
      <c r="J122" s="161">
        <f>'Rekapitulacija Posebni dio'!H230</f>
        <v>12000</v>
      </c>
    </row>
    <row r="123" spans="1:10" s="117" customFormat="1" ht="15.75" customHeight="1" x14ac:dyDescent="0.25">
      <c r="A123" s="213"/>
      <c r="B123" s="214" t="s">
        <v>488</v>
      </c>
      <c r="C123" s="213"/>
      <c r="D123" s="213" t="s">
        <v>402</v>
      </c>
      <c r="E123" s="161">
        <f>'Rekapitulacija Posebni dio'!C231</f>
        <v>0</v>
      </c>
      <c r="F123" s="161">
        <f>'Rekapitulacija Posebni dio'!D231</f>
        <v>0</v>
      </c>
      <c r="G123" s="161">
        <f>'Rekapitulacija Posebni dio'!E231</f>
        <v>45150</v>
      </c>
      <c r="H123" s="161">
        <f>'Rekapitulacija Posebni dio'!F231</f>
        <v>45150</v>
      </c>
      <c r="I123" s="161">
        <f>'Rekapitulacija Posebni dio'!G231</f>
        <v>46150</v>
      </c>
      <c r="J123" s="161">
        <f>'Rekapitulacija Posebni dio'!H231</f>
        <v>47150</v>
      </c>
    </row>
    <row r="124" spans="1:10" s="117" customFormat="1" ht="15.75" customHeight="1" x14ac:dyDescent="0.25">
      <c r="A124" s="213"/>
      <c r="B124" s="214" t="s">
        <v>624</v>
      </c>
      <c r="C124" s="213"/>
      <c r="D124" s="213" t="s">
        <v>625</v>
      </c>
      <c r="E124" s="161">
        <f>'Rekapitulacija Posebni dio'!C232</f>
        <v>0</v>
      </c>
      <c r="F124" s="161">
        <f>'Rekapitulacija Posebni dio'!D232</f>
        <v>0</v>
      </c>
      <c r="G124" s="161">
        <f>'Rekapitulacija Posebni dio'!E232</f>
        <v>63400</v>
      </c>
      <c r="H124" s="161">
        <f>'Rekapitulacija Posebni dio'!F232</f>
        <v>63400</v>
      </c>
      <c r="I124" s="161">
        <f>'Rekapitulacija Posebni dio'!G232</f>
        <v>64600</v>
      </c>
      <c r="J124" s="161">
        <f>'Rekapitulacija Posebni dio'!H232</f>
        <v>65880</v>
      </c>
    </row>
    <row r="125" spans="1:10" s="117" customFormat="1" ht="15.75" customHeight="1" x14ac:dyDescent="0.25">
      <c r="A125" s="213"/>
      <c r="B125" s="214" t="s">
        <v>489</v>
      </c>
      <c r="C125" s="213"/>
      <c r="D125" s="213" t="s">
        <v>397</v>
      </c>
      <c r="E125" s="161">
        <f>'Rekapitulacija Posebni dio'!C233</f>
        <v>0</v>
      </c>
      <c r="F125" s="161">
        <f>'Rekapitulacija Posebni dio'!D233</f>
        <v>0</v>
      </c>
      <c r="G125" s="161">
        <f>'Rekapitulacija Posebni dio'!E233</f>
        <v>13981.68</v>
      </c>
      <c r="H125" s="161">
        <f>'Rekapitulacija Posebni dio'!F233</f>
        <v>13981.68</v>
      </c>
      <c r="I125" s="161">
        <f>'Rekapitulacija Posebni dio'!G233</f>
        <v>14986.13</v>
      </c>
      <c r="J125" s="161">
        <f>'Rekapitulacija Posebni dio'!H233</f>
        <v>15998.37</v>
      </c>
    </row>
    <row r="126" spans="1:10" s="130" customFormat="1" ht="15.75" customHeight="1" x14ac:dyDescent="0.25">
      <c r="A126" s="188"/>
      <c r="B126" s="154">
        <v>313</v>
      </c>
      <c r="C126" s="188"/>
      <c r="D126" s="188" t="s">
        <v>97</v>
      </c>
      <c r="E126" s="217">
        <f t="shared" ref="E126:J127" si="71">SUM(E127)</f>
        <v>0</v>
      </c>
      <c r="F126" s="217">
        <f t="shared" si="71"/>
        <v>0</v>
      </c>
      <c r="G126" s="217">
        <f t="shared" si="71"/>
        <v>237806.76</v>
      </c>
      <c r="H126" s="217">
        <f t="shared" si="71"/>
        <v>237806.76</v>
      </c>
      <c r="I126" s="217">
        <f t="shared" si="71"/>
        <v>248856.76</v>
      </c>
      <c r="J126" s="217">
        <f t="shared" si="71"/>
        <v>261956.76</v>
      </c>
    </row>
    <row r="127" spans="1:10" s="130" customFormat="1" ht="15.75" customHeight="1" x14ac:dyDescent="0.25">
      <c r="A127" s="188"/>
      <c r="B127" s="154">
        <v>3132</v>
      </c>
      <c r="C127" s="188"/>
      <c r="D127" s="188" t="s">
        <v>98</v>
      </c>
      <c r="E127" s="217">
        <f t="shared" si="71"/>
        <v>0</v>
      </c>
      <c r="F127" s="217">
        <f t="shared" si="71"/>
        <v>0</v>
      </c>
      <c r="G127" s="217">
        <f t="shared" si="71"/>
        <v>237806.76</v>
      </c>
      <c r="H127" s="217">
        <f t="shared" si="71"/>
        <v>237806.76</v>
      </c>
      <c r="I127" s="217">
        <f t="shared" si="71"/>
        <v>248856.76</v>
      </c>
      <c r="J127" s="217">
        <f t="shared" si="71"/>
        <v>261956.76</v>
      </c>
    </row>
    <row r="128" spans="1:10" s="130" customFormat="1" ht="15.75" customHeight="1" x14ac:dyDescent="0.25">
      <c r="A128" s="213"/>
      <c r="B128" s="158" t="s">
        <v>490</v>
      </c>
      <c r="C128" s="213"/>
      <c r="D128" s="213" t="s">
        <v>98</v>
      </c>
      <c r="E128" s="218">
        <f>'Rekapitulacija Posebni dio'!C236</f>
        <v>0</v>
      </c>
      <c r="F128" s="218">
        <f>'Rekapitulacija Posebni dio'!D236</f>
        <v>0</v>
      </c>
      <c r="G128" s="218">
        <f>'Rekapitulacija Posebni dio'!E236</f>
        <v>237806.76</v>
      </c>
      <c r="H128" s="218">
        <f>'Rekapitulacija Posebni dio'!F236</f>
        <v>237806.76</v>
      </c>
      <c r="I128" s="218">
        <f>'Rekapitulacija Posebni dio'!G236</f>
        <v>248856.76</v>
      </c>
      <c r="J128" s="218">
        <f>'Rekapitulacija Posebni dio'!H236</f>
        <v>261956.76</v>
      </c>
    </row>
    <row r="129" spans="1:10" s="130" customFormat="1" x14ac:dyDescent="0.25">
      <c r="A129" s="188"/>
      <c r="B129" s="132">
        <v>32</v>
      </c>
      <c r="C129" s="199"/>
      <c r="D129" s="212" t="s">
        <v>99</v>
      </c>
      <c r="E129" s="135">
        <f t="shared" ref="E129:J129" si="72">E130+E143+E159+E185+E193</f>
        <v>0</v>
      </c>
      <c r="F129" s="135">
        <f t="shared" si="72"/>
        <v>0</v>
      </c>
      <c r="G129" s="135">
        <f t="shared" si="72"/>
        <v>2458865.63</v>
      </c>
      <c r="H129" s="135">
        <f t="shared" si="72"/>
        <v>2458865.63</v>
      </c>
      <c r="I129" s="135">
        <f t="shared" si="72"/>
        <v>2478927.1799999997</v>
      </c>
      <c r="J129" s="135">
        <f t="shared" si="72"/>
        <v>2484701.96</v>
      </c>
    </row>
    <row r="130" spans="1:10" s="130" customFormat="1" ht="15.75" customHeight="1" x14ac:dyDescent="0.25">
      <c r="A130" s="188"/>
      <c r="B130" s="150">
        <v>321</v>
      </c>
      <c r="C130" s="188"/>
      <c r="D130" s="188" t="s">
        <v>100</v>
      </c>
      <c r="E130" s="153">
        <f t="shared" ref="E130" si="73">E131+E136+E139+E142</f>
        <v>0</v>
      </c>
      <c r="F130" s="153">
        <f t="shared" ref="F130:J130" si="74">F131+F136+F139+F142</f>
        <v>0</v>
      </c>
      <c r="G130" s="153">
        <f t="shared" ref="G130" si="75">G131+G136+G139+G142</f>
        <v>141199.5</v>
      </c>
      <c r="H130" s="153">
        <f t="shared" si="74"/>
        <v>141199.5</v>
      </c>
      <c r="I130" s="153">
        <f t="shared" si="74"/>
        <v>143653.64999999997</v>
      </c>
      <c r="J130" s="153">
        <f t="shared" si="74"/>
        <v>146128.43</v>
      </c>
    </row>
    <row r="131" spans="1:10" s="130" customFormat="1" ht="15.75" customHeight="1" x14ac:dyDescent="0.25">
      <c r="A131" s="188"/>
      <c r="B131" s="150" t="s">
        <v>101</v>
      </c>
      <c r="C131" s="188"/>
      <c r="D131" s="188" t="s">
        <v>102</v>
      </c>
      <c r="E131" s="153">
        <f>SUM(E132:E135)</f>
        <v>0</v>
      </c>
      <c r="F131" s="153">
        <f t="shared" ref="F131:J131" si="76">SUM(F132:F135)</f>
        <v>0</v>
      </c>
      <c r="G131" s="153">
        <f t="shared" ref="G131" si="77">SUM(G132:G135)</f>
        <v>9263.61</v>
      </c>
      <c r="H131" s="153">
        <f t="shared" si="76"/>
        <v>9263.61</v>
      </c>
      <c r="I131" s="153">
        <f t="shared" si="76"/>
        <v>9463.61</v>
      </c>
      <c r="J131" s="153">
        <f t="shared" si="76"/>
        <v>9663.61</v>
      </c>
    </row>
    <row r="132" spans="1:10" s="117" customFormat="1" ht="15.75" customHeight="1" x14ac:dyDescent="0.25">
      <c r="A132" s="213"/>
      <c r="B132" s="214" t="s">
        <v>521</v>
      </c>
      <c r="C132" s="213"/>
      <c r="D132" s="213" t="s">
        <v>403</v>
      </c>
      <c r="E132" s="161">
        <f>'Rekapitulacija Posebni dio'!C240</f>
        <v>0</v>
      </c>
      <c r="F132" s="161">
        <f>'Rekapitulacija Posebni dio'!D240</f>
        <v>0</v>
      </c>
      <c r="G132" s="161">
        <f>'Rekapitulacija Posebni dio'!E240</f>
        <v>6500</v>
      </c>
      <c r="H132" s="161">
        <f>'Rekapitulacija Posebni dio'!F240</f>
        <v>6500</v>
      </c>
      <c r="I132" s="161">
        <f>'Rekapitulacija Posebni dio'!G240</f>
        <v>6700</v>
      </c>
      <c r="J132" s="161">
        <f>'Rekapitulacija Posebni dio'!H240</f>
        <v>6900</v>
      </c>
    </row>
    <row r="133" spans="1:10" s="117" customFormat="1" ht="15.75" customHeight="1" x14ac:dyDescent="0.25">
      <c r="A133" s="213"/>
      <c r="B133" s="214" t="s">
        <v>528</v>
      </c>
      <c r="C133" s="213"/>
      <c r="D133" s="213" t="s">
        <v>405</v>
      </c>
      <c r="E133" s="161">
        <f>'Rekapitulacija Posebni dio'!C241</f>
        <v>0</v>
      </c>
      <c r="F133" s="161">
        <f>'Rekapitulacija Posebni dio'!D241</f>
        <v>0</v>
      </c>
      <c r="G133" s="161">
        <f>'Rekapitulacija Posebni dio'!E241</f>
        <v>1000</v>
      </c>
      <c r="H133" s="161">
        <f>'Rekapitulacija Posebni dio'!F241</f>
        <v>1000</v>
      </c>
      <c r="I133" s="161">
        <f>'Rekapitulacija Posebni dio'!G241</f>
        <v>1000</v>
      </c>
      <c r="J133" s="161">
        <f>'Rekapitulacija Posebni dio'!H241</f>
        <v>1000</v>
      </c>
    </row>
    <row r="134" spans="1:10" s="117" customFormat="1" ht="15.75" customHeight="1" x14ac:dyDescent="0.25">
      <c r="A134" s="213"/>
      <c r="B134" s="214" t="s">
        <v>510</v>
      </c>
      <c r="C134" s="213"/>
      <c r="D134" s="213" t="s">
        <v>406</v>
      </c>
      <c r="E134" s="161">
        <f>'Rekapitulacija Posebni dio'!C242</f>
        <v>0</v>
      </c>
      <c r="F134" s="161">
        <f>'Rekapitulacija Posebni dio'!D242</f>
        <v>0</v>
      </c>
      <c r="G134" s="161">
        <f>'Rekapitulacija Posebni dio'!E242</f>
        <v>763.61</v>
      </c>
      <c r="H134" s="161">
        <f>'Rekapitulacija Posebni dio'!F242</f>
        <v>763.61</v>
      </c>
      <c r="I134" s="161">
        <f>'Rekapitulacija Posebni dio'!G242</f>
        <v>763.61</v>
      </c>
      <c r="J134" s="161">
        <f>'Rekapitulacija Posebni dio'!H242</f>
        <v>763.61</v>
      </c>
    </row>
    <row r="135" spans="1:10" s="117" customFormat="1" ht="15.75" customHeight="1" x14ac:dyDescent="0.25">
      <c r="A135" s="213"/>
      <c r="B135" s="214" t="s">
        <v>587</v>
      </c>
      <c r="C135" s="213"/>
      <c r="D135" s="213" t="s">
        <v>588</v>
      </c>
      <c r="E135" s="161">
        <f>'Rekapitulacija Posebni dio'!C243</f>
        <v>0</v>
      </c>
      <c r="F135" s="161">
        <f>'Rekapitulacija Posebni dio'!D243</f>
        <v>0</v>
      </c>
      <c r="G135" s="161">
        <f>'Rekapitulacija Posebni dio'!E243</f>
        <v>1000</v>
      </c>
      <c r="H135" s="161">
        <f>'Rekapitulacija Posebni dio'!F243</f>
        <v>1000</v>
      </c>
      <c r="I135" s="161">
        <f>'Rekapitulacija Posebni dio'!G243</f>
        <v>1000</v>
      </c>
      <c r="J135" s="161">
        <f>'Rekapitulacija Posebni dio'!H243</f>
        <v>1000</v>
      </c>
    </row>
    <row r="136" spans="1:10" s="130" customFormat="1" ht="15.75" customHeight="1" x14ac:dyDescent="0.25">
      <c r="A136" s="213"/>
      <c r="B136" s="150" t="s">
        <v>103</v>
      </c>
      <c r="C136" s="188"/>
      <c r="D136" s="221" t="s">
        <v>104</v>
      </c>
      <c r="E136" s="153">
        <f>SUM(E137:E138)</f>
        <v>0</v>
      </c>
      <c r="F136" s="153">
        <f t="shared" ref="F136:J136" si="78">SUM(F137:F138)</f>
        <v>0</v>
      </c>
      <c r="G136" s="153">
        <f t="shared" ref="G136" si="79">SUM(G137:G138)</f>
        <v>130272.28</v>
      </c>
      <c r="H136" s="153">
        <f t="shared" si="78"/>
        <v>130272.28</v>
      </c>
      <c r="I136" s="153">
        <f t="shared" si="78"/>
        <v>132326.43</v>
      </c>
      <c r="J136" s="153">
        <f t="shared" si="78"/>
        <v>134401.21000000002</v>
      </c>
    </row>
    <row r="137" spans="1:10" s="130" customFormat="1" ht="15.75" customHeight="1" x14ac:dyDescent="0.25">
      <c r="A137" s="213"/>
      <c r="B137" s="214" t="s">
        <v>491</v>
      </c>
      <c r="C137" s="213"/>
      <c r="D137" s="220" t="s">
        <v>289</v>
      </c>
      <c r="E137" s="161">
        <f>'Rekapitulacija Posebni dio'!C245</f>
        <v>0</v>
      </c>
      <c r="F137" s="161">
        <f>'Rekapitulacija Posebni dio'!D245</f>
        <v>0</v>
      </c>
      <c r="G137" s="161">
        <f>'Rekapitulacija Posebni dio'!E245</f>
        <v>126272.28</v>
      </c>
      <c r="H137" s="161">
        <f>'Rekapitulacija Posebni dio'!F245</f>
        <v>126272.28</v>
      </c>
      <c r="I137" s="161">
        <f>'Rekapitulacija Posebni dio'!G245</f>
        <v>128326.43</v>
      </c>
      <c r="J137" s="161">
        <f>'Rekapitulacija Posebni dio'!H245</f>
        <v>130401.21</v>
      </c>
    </row>
    <row r="138" spans="1:10" s="130" customFormat="1" ht="15.75" customHeight="1" x14ac:dyDescent="0.25">
      <c r="A138" s="213"/>
      <c r="B138" s="214" t="s">
        <v>626</v>
      </c>
      <c r="C138" s="213"/>
      <c r="D138" s="220" t="s">
        <v>627</v>
      </c>
      <c r="E138" s="161">
        <f>'Rekapitulacija Posebni dio'!C246</f>
        <v>0</v>
      </c>
      <c r="F138" s="161">
        <f>'Rekapitulacija Posebni dio'!D246</f>
        <v>0</v>
      </c>
      <c r="G138" s="161">
        <f>'Rekapitulacija Posebni dio'!E246</f>
        <v>4000</v>
      </c>
      <c r="H138" s="161">
        <f>'Rekapitulacija Posebni dio'!F246</f>
        <v>4000</v>
      </c>
      <c r="I138" s="161">
        <f>'Rekapitulacija Posebni dio'!G246</f>
        <v>4000</v>
      </c>
      <c r="J138" s="161">
        <f>'Rekapitulacija Posebni dio'!H246</f>
        <v>4000</v>
      </c>
    </row>
    <row r="139" spans="1:10" s="130" customFormat="1" ht="15.75" customHeight="1" x14ac:dyDescent="0.25">
      <c r="A139" s="213"/>
      <c r="B139" s="150" t="s">
        <v>105</v>
      </c>
      <c r="C139" s="188"/>
      <c r="D139" s="221" t="s">
        <v>106</v>
      </c>
      <c r="E139" s="153">
        <f>SUM(E140:E141)</f>
        <v>0</v>
      </c>
      <c r="F139" s="153">
        <f t="shared" ref="F139:J139" si="80">SUM(F140:F141)</f>
        <v>0</v>
      </c>
      <c r="G139" s="153">
        <f t="shared" ref="G139" si="81">SUM(G140:G141)</f>
        <v>1663.6100000000001</v>
      </c>
      <c r="H139" s="153">
        <f t="shared" si="80"/>
        <v>1663.6100000000001</v>
      </c>
      <c r="I139" s="153">
        <f t="shared" si="80"/>
        <v>1863.6100000000001</v>
      </c>
      <c r="J139" s="153">
        <f t="shared" si="80"/>
        <v>2063.61</v>
      </c>
    </row>
    <row r="140" spans="1:10" s="117" customFormat="1" ht="15.75" customHeight="1" x14ac:dyDescent="0.25">
      <c r="A140" s="213"/>
      <c r="B140" s="214" t="s">
        <v>530</v>
      </c>
      <c r="C140" s="213"/>
      <c r="D140" s="220" t="s">
        <v>407</v>
      </c>
      <c r="E140" s="161">
        <f>'Rekapitulacija Posebni dio'!C248</f>
        <v>0</v>
      </c>
      <c r="F140" s="161">
        <f>'Rekapitulacija Posebni dio'!D248</f>
        <v>0</v>
      </c>
      <c r="G140" s="161">
        <f>'Rekapitulacija Posebni dio'!E248</f>
        <v>1000</v>
      </c>
      <c r="H140" s="161">
        <f>'Rekapitulacija Posebni dio'!F248</f>
        <v>1000</v>
      </c>
      <c r="I140" s="161">
        <f>'Rekapitulacija Posebni dio'!G248</f>
        <v>1200</v>
      </c>
      <c r="J140" s="161">
        <f>'Rekapitulacija Posebni dio'!H248</f>
        <v>1400</v>
      </c>
    </row>
    <row r="141" spans="1:10" s="130" customFormat="1" ht="15.75" customHeight="1" x14ac:dyDescent="0.25">
      <c r="A141" s="213"/>
      <c r="B141" s="214" t="s">
        <v>511</v>
      </c>
      <c r="C141" s="213"/>
      <c r="D141" s="220" t="s">
        <v>408</v>
      </c>
      <c r="E141" s="161">
        <f>'Rekapitulacija Posebni dio'!C249</f>
        <v>0</v>
      </c>
      <c r="F141" s="161">
        <f>'Rekapitulacija Posebni dio'!D249</f>
        <v>0</v>
      </c>
      <c r="G141" s="161">
        <f>'Rekapitulacija Posebni dio'!E249</f>
        <v>663.61</v>
      </c>
      <c r="H141" s="161">
        <f>'Rekapitulacija Posebni dio'!F249</f>
        <v>663.61</v>
      </c>
      <c r="I141" s="161">
        <f>'Rekapitulacija Posebni dio'!G249</f>
        <v>663.61</v>
      </c>
      <c r="J141" s="161">
        <f>'Rekapitulacija Posebni dio'!H249</f>
        <v>663.61</v>
      </c>
    </row>
    <row r="142" spans="1:10" s="130" customFormat="1" ht="15.75" hidden="1" customHeight="1" x14ac:dyDescent="0.25">
      <c r="A142" s="213"/>
      <c r="B142" s="150" t="s">
        <v>107</v>
      </c>
      <c r="C142" s="188"/>
      <c r="D142" s="221" t="s">
        <v>108</v>
      </c>
      <c r="E142" s="153"/>
      <c r="F142" s="153"/>
      <c r="G142" s="153"/>
      <c r="H142" s="153"/>
      <c r="I142" s="153"/>
      <c r="J142" s="153"/>
    </row>
    <row r="143" spans="1:10" s="130" customFormat="1" ht="15.75" customHeight="1" x14ac:dyDescent="0.25">
      <c r="A143" s="188"/>
      <c r="B143" s="150" t="s">
        <v>109</v>
      </c>
      <c r="C143" s="188"/>
      <c r="D143" s="221" t="s">
        <v>110</v>
      </c>
      <c r="E143" s="153">
        <f t="shared" ref="E143:J143" si="82">E144+E146+E149+E152+E154+E157</f>
        <v>0</v>
      </c>
      <c r="F143" s="153">
        <f t="shared" si="82"/>
        <v>0</v>
      </c>
      <c r="G143" s="153">
        <f t="shared" si="82"/>
        <v>33838.39</v>
      </c>
      <c r="H143" s="153">
        <f t="shared" si="82"/>
        <v>33838.39</v>
      </c>
      <c r="I143" s="153">
        <f t="shared" si="82"/>
        <v>34500</v>
      </c>
      <c r="J143" s="153">
        <f t="shared" si="82"/>
        <v>35200</v>
      </c>
    </row>
    <row r="144" spans="1:10" s="130" customFormat="1" ht="15.75" customHeight="1" x14ac:dyDescent="0.25">
      <c r="A144" s="188"/>
      <c r="B144" s="150" t="s">
        <v>111</v>
      </c>
      <c r="C144" s="188"/>
      <c r="D144" s="188" t="s">
        <v>112</v>
      </c>
      <c r="E144" s="153">
        <f t="shared" ref="E144:J144" si="83">SUM(E145)</f>
        <v>0</v>
      </c>
      <c r="F144" s="153">
        <f t="shared" si="83"/>
        <v>0</v>
      </c>
      <c r="G144" s="153">
        <f t="shared" si="83"/>
        <v>8033.0300000000007</v>
      </c>
      <c r="H144" s="153">
        <f t="shared" si="83"/>
        <v>8033.0300000000007</v>
      </c>
      <c r="I144" s="153">
        <f t="shared" si="83"/>
        <v>8500</v>
      </c>
      <c r="J144" s="153">
        <f t="shared" si="83"/>
        <v>8950</v>
      </c>
    </row>
    <row r="145" spans="1:10" s="130" customFormat="1" ht="15.75" customHeight="1" x14ac:dyDescent="0.25">
      <c r="A145" s="188"/>
      <c r="B145" s="214" t="s">
        <v>512</v>
      </c>
      <c r="C145" s="188"/>
      <c r="D145" s="213" t="s">
        <v>410</v>
      </c>
      <c r="E145" s="161">
        <f>'Rekapitulacija Posebni dio'!C253</f>
        <v>0</v>
      </c>
      <c r="F145" s="161">
        <f>'Rekapitulacija Posebni dio'!D253</f>
        <v>0</v>
      </c>
      <c r="G145" s="161">
        <f>'Rekapitulacija Posebni dio'!E253</f>
        <v>8033.0300000000007</v>
      </c>
      <c r="H145" s="161">
        <f>'Rekapitulacija Posebni dio'!F253</f>
        <v>8033.0300000000007</v>
      </c>
      <c r="I145" s="161">
        <f>'Rekapitulacija Posebni dio'!G253</f>
        <v>8500</v>
      </c>
      <c r="J145" s="161">
        <f>'Rekapitulacija Posebni dio'!H253</f>
        <v>8950</v>
      </c>
    </row>
    <row r="146" spans="1:10" s="130" customFormat="1" ht="15.75" hidden="1" customHeight="1" x14ac:dyDescent="0.25">
      <c r="A146" s="188"/>
      <c r="B146" s="150" t="s">
        <v>113</v>
      </c>
      <c r="C146" s="188"/>
      <c r="D146" s="188" t="s">
        <v>114</v>
      </c>
      <c r="E146" s="153">
        <f t="shared" ref="E146" si="84">SUM(E147:E148)</f>
        <v>0</v>
      </c>
      <c r="F146" s="153">
        <f t="shared" ref="F146:J146" si="85">SUM(F147:F148)</f>
        <v>0</v>
      </c>
      <c r="G146" s="153"/>
      <c r="H146" s="153">
        <f t="shared" si="85"/>
        <v>0</v>
      </c>
      <c r="I146" s="153">
        <f t="shared" si="85"/>
        <v>0</v>
      </c>
      <c r="J146" s="153">
        <f t="shared" si="85"/>
        <v>0</v>
      </c>
    </row>
    <row r="147" spans="1:10" s="130" customFormat="1" ht="15.75" hidden="1" customHeight="1" x14ac:dyDescent="0.25">
      <c r="A147" s="188"/>
      <c r="B147" s="214" t="s">
        <v>493</v>
      </c>
      <c r="C147" s="188"/>
      <c r="D147" s="213" t="s">
        <v>415</v>
      </c>
      <c r="E147" s="161">
        <f>'Rekapitulacija Posebni dio'!C255</f>
        <v>0</v>
      </c>
      <c r="F147" s="161">
        <f>'Rekapitulacija Posebni dio'!D255</f>
        <v>0</v>
      </c>
      <c r="G147" s="161"/>
      <c r="H147" s="161">
        <f>'Rekapitulacija Posebni dio'!F255</f>
        <v>0</v>
      </c>
      <c r="I147" s="161">
        <f>'Rekapitulacija Posebni dio'!G255</f>
        <v>0</v>
      </c>
      <c r="J147" s="161">
        <f>'Rekapitulacija Posebni dio'!H255</f>
        <v>0</v>
      </c>
    </row>
    <row r="148" spans="1:10" s="117" customFormat="1" ht="15.75" hidden="1" customHeight="1" x14ac:dyDescent="0.25">
      <c r="A148" s="188"/>
      <c r="B148" s="214" t="s">
        <v>494</v>
      </c>
      <c r="C148" s="188"/>
      <c r="D148" s="213" t="s">
        <v>416</v>
      </c>
      <c r="E148" s="161">
        <f>'Rekapitulacija Posebni dio'!C256</f>
        <v>0</v>
      </c>
      <c r="F148" s="161">
        <f>'Rekapitulacija Posebni dio'!D256</f>
        <v>0</v>
      </c>
      <c r="G148" s="161"/>
      <c r="H148" s="161">
        <f>'Rekapitulacija Posebni dio'!F256</f>
        <v>0</v>
      </c>
      <c r="I148" s="161">
        <f>'Rekapitulacija Posebni dio'!G256</f>
        <v>0</v>
      </c>
      <c r="J148" s="161">
        <f>'Rekapitulacija Posebni dio'!H256</f>
        <v>0</v>
      </c>
    </row>
    <row r="149" spans="1:10" s="117" customFormat="1" ht="15.75" customHeight="1" x14ac:dyDescent="0.25">
      <c r="A149" s="188"/>
      <c r="B149" s="150" t="s">
        <v>115</v>
      </c>
      <c r="C149" s="188"/>
      <c r="D149" s="188" t="s">
        <v>116</v>
      </c>
      <c r="E149" s="153">
        <f t="shared" ref="E149" si="86">SUM(E150:E151)</f>
        <v>0</v>
      </c>
      <c r="F149" s="153">
        <f t="shared" ref="F149:J149" si="87">SUM(F150:F151)</f>
        <v>0</v>
      </c>
      <c r="G149" s="153">
        <f t="shared" ref="G149" si="88">SUM(G150:G151)</f>
        <v>18805.36</v>
      </c>
      <c r="H149" s="153">
        <f t="shared" si="87"/>
        <v>18805.36</v>
      </c>
      <c r="I149" s="153">
        <f t="shared" si="87"/>
        <v>19000</v>
      </c>
      <c r="J149" s="153">
        <f t="shared" si="87"/>
        <v>19250</v>
      </c>
    </row>
    <row r="150" spans="1:10" s="117" customFormat="1" ht="15.75" customHeight="1" x14ac:dyDescent="0.25">
      <c r="A150" s="188"/>
      <c r="B150" s="214" t="s">
        <v>498</v>
      </c>
      <c r="C150" s="188"/>
      <c r="D150" s="213" t="s">
        <v>421</v>
      </c>
      <c r="E150" s="161">
        <f>'Rekapitulacija Posebni dio'!C258</f>
        <v>0</v>
      </c>
      <c r="F150" s="161">
        <f>'Rekapitulacija Posebni dio'!D258</f>
        <v>0</v>
      </c>
      <c r="G150" s="161">
        <f>'Rekapitulacija Posebni dio'!E258</f>
        <v>13500</v>
      </c>
      <c r="H150" s="161">
        <f>'Rekapitulacija Posebni dio'!F258</f>
        <v>13500</v>
      </c>
      <c r="I150" s="161">
        <f>'Rekapitulacija Posebni dio'!G258</f>
        <v>13500</v>
      </c>
      <c r="J150" s="161">
        <f>'Rekapitulacija Posebni dio'!H258</f>
        <v>13500</v>
      </c>
    </row>
    <row r="151" spans="1:10" s="117" customFormat="1" x14ac:dyDescent="0.25">
      <c r="A151" s="188"/>
      <c r="B151" s="214" t="s">
        <v>499</v>
      </c>
      <c r="C151" s="188"/>
      <c r="D151" s="213" t="s">
        <v>418</v>
      </c>
      <c r="E151" s="161">
        <f>'Rekapitulacija Posebni dio'!C259</f>
        <v>0</v>
      </c>
      <c r="F151" s="161">
        <f>'Rekapitulacija Posebni dio'!D259</f>
        <v>0</v>
      </c>
      <c r="G151" s="161">
        <f>'Rekapitulacija Posebni dio'!E259</f>
        <v>5305.36</v>
      </c>
      <c r="H151" s="161">
        <f>'Rekapitulacija Posebni dio'!F259</f>
        <v>5305.36</v>
      </c>
      <c r="I151" s="161">
        <f>'Rekapitulacija Posebni dio'!G259</f>
        <v>5500</v>
      </c>
      <c r="J151" s="161">
        <f>'Rekapitulacija Posebni dio'!H259</f>
        <v>5750</v>
      </c>
    </row>
    <row r="152" spans="1:10" s="117" customFormat="1" hidden="1" x14ac:dyDescent="0.25">
      <c r="A152" s="188"/>
      <c r="B152" s="150" t="s">
        <v>117</v>
      </c>
      <c r="C152" s="188"/>
      <c r="D152" s="221" t="s">
        <v>546</v>
      </c>
      <c r="E152" s="153">
        <f t="shared" ref="E152:J152" si="89">SUM(E153)</f>
        <v>0</v>
      </c>
      <c r="F152" s="153">
        <f t="shared" si="89"/>
        <v>0</v>
      </c>
      <c r="G152" s="153"/>
      <c r="H152" s="153">
        <f t="shared" si="89"/>
        <v>0</v>
      </c>
      <c r="I152" s="153">
        <f t="shared" si="89"/>
        <v>0</v>
      </c>
      <c r="J152" s="153">
        <f t="shared" si="89"/>
        <v>0</v>
      </c>
    </row>
    <row r="153" spans="1:10" s="130" customFormat="1" ht="14.25" hidden="1" customHeight="1" x14ac:dyDescent="0.25">
      <c r="A153" s="188"/>
      <c r="B153" s="214" t="s">
        <v>536</v>
      </c>
      <c r="C153" s="188"/>
      <c r="D153" s="220" t="s">
        <v>547</v>
      </c>
      <c r="E153" s="161"/>
      <c r="F153" s="161"/>
      <c r="G153" s="161"/>
      <c r="H153" s="161"/>
      <c r="I153" s="161"/>
      <c r="J153" s="161"/>
    </row>
    <row r="154" spans="1:10" s="130" customFormat="1" x14ac:dyDescent="0.25">
      <c r="A154" s="188"/>
      <c r="B154" s="150" t="s">
        <v>119</v>
      </c>
      <c r="C154" s="188"/>
      <c r="D154" s="221" t="s">
        <v>120</v>
      </c>
      <c r="E154" s="153">
        <f>SUM(E155:E156)</f>
        <v>0</v>
      </c>
      <c r="F154" s="153">
        <f t="shared" ref="F154:J154" si="90">SUM(F155:F156)</f>
        <v>0</v>
      </c>
      <c r="G154" s="153">
        <f t="shared" ref="G154" si="91">SUM(G155:G156)</f>
        <v>7000</v>
      </c>
      <c r="H154" s="153">
        <f t="shared" si="90"/>
        <v>7000</v>
      </c>
      <c r="I154" s="153">
        <f t="shared" si="90"/>
        <v>7000</v>
      </c>
      <c r="J154" s="153">
        <f t="shared" si="90"/>
        <v>7000</v>
      </c>
    </row>
    <row r="155" spans="1:10" s="130" customFormat="1" x14ac:dyDescent="0.25">
      <c r="A155" s="188"/>
      <c r="B155" s="214" t="s">
        <v>500</v>
      </c>
      <c r="C155" s="188"/>
      <c r="D155" s="220" t="s">
        <v>596</v>
      </c>
      <c r="E155" s="161">
        <f>'Rekapitulacija Posebni dio'!C262</f>
        <v>0</v>
      </c>
      <c r="F155" s="161">
        <f>'Rekapitulacija Posebni dio'!D262</f>
        <v>0</v>
      </c>
      <c r="G155" s="161">
        <f>'Rekapitulacija Posebni dio'!E262</f>
        <v>5000</v>
      </c>
      <c r="H155" s="161">
        <f>'Rekapitulacija Posebni dio'!F262</f>
        <v>5000</v>
      </c>
      <c r="I155" s="161">
        <f>'Rekapitulacija Posebni dio'!G262</f>
        <v>5000</v>
      </c>
      <c r="J155" s="161">
        <f>'Rekapitulacija Posebni dio'!H262</f>
        <v>5000</v>
      </c>
    </row>
    <row r="156" spans="1:10" s="130" customFormat="1" x14ac:dyDescent="0.25">
      <c r="A156" s="188"/>
      <c r="B156" s="214" t="s">
        <v>595</v>
      </c>
      <c r="C156" s="188"/>
      <c r="D156" s="220" t="s">
        <v>628</v>
      </c>
      <c r="E156" s="161">
        <f>'Rekapitulacija Posebni dio'!C263</f>
        <v>0</v>
      </c>
      <c r="F156" s="161">
        <f>'Rekapitulacija Posebni dio'!D263</f>
        <v>0</v>
      </c>
      <c r="G156" s="161">
        <f>'Rekapitulacija Posebni dio'!E263</f>
        <v>2000</v>
      </c>
      <c r="H156" s="161">
        <f>'Rekapitulacija Posebni dio'!F263</f>
        <v>2000</v>
      </c>
      <c r="I156" s="161">
        <f>'Rekapitulacija Posebni dio'!G263</f>
        <v>2000</v>
      </c>
      <c r="J156" s="161">
        <f>'Rekapitulacija Posebni dio'!H263</f>
        <v>2000</v>
      </c>
    </row>
    <row r="157" spans="1:10" s="130" customFormat="1" hidden="1" x14ac:dyDescent="0.25">
      <c r="A157" s="188"/>
      <c r="B157" s="150" t="s">
        <v>121</v>
      </c>
      <c r="C157" s="188"/>
      <c r="D157" s="221" t="s">
        <v>122</v>
      </c>
      <c r="E157" s="153">
        <f t="shared" ref="E157:J157" si="92">SUM(E158)</f>
        <v>0</v>
      </c>
      <c r="F157" s="153">
        <f t="shared" si="92"/>
        <v>0</v>
      </c>
      <c r="G157" s="153"/>
      <c r="H157" s="153">
        <f t="shared" si="92"/>
        <v>0</v>
      </c>
      <c r="I157" s="153">
        <f t="shared" si="92"/>
        <v>0</v>
      </c>
      <c r="J157" s="153">
        <f t="shared" si="92"/>
        <v>0</v>
      </c>
    </row>
    <row r="158" spans="1:10" s="130" customFormat="1" hidden="1" x14ac:dyDescent="0.25">
      <c r="A158" s="188"/>
      <c r="B158" s="214" t="s">
        <v>501</v>
      </c>
      <c r="C158" s="188"/>
      <c r="D158" s="220" t="s">
        <v>122</v>
      </c>
      <c r="E158" s="161"/>
      <c r="F158" s="161"/>
      <c r="G158" s="161"/>
      <c r="H158" s="161"/>
      <c r="I158" s="161"/>
      <c r="J158" s="161"/>
    </row>
    <row r="159" spans="1:10" s="130" customFormat="1" x14ac:dyDescent="0.25">
      <c r="A159" s="188"/>
      <c r="B159" s="150" t="s">
        <v>123</v>
      </c>
      <c r="C159" s="188"/>
      <c r="D159" s="221" t="s">
        <v>124</v>
      </c>
      <c r="E159" s="153">
        <f t="shared" ref="E159" si="93">E160+E164+E168+E170+E171+E172+E174+E178+E181</f>
        <v>0</v>
      </c>
      <c r="F159" s="153">
        <f>F160+F164+F168+F170+F171+F172+F174+F178+F181</f>
        <v>0</v>
      </c>
      <c r="G159" s="153">
        <f>G160+G164+G168+G170+G171+G172+G174+G178+G181</f>
        <v>148619.07</v>
      </c>
      <c r="H159" s="153">
        <f>H160+H164+H168+H170+H171+H172+H174+H178+H181</f>
        <v>148619.07</v>
      </c>
      <c r="I159" s="153">
        <f>I160+I164+I168+I170+I171+I172+I174+I178+I181</f>
        <v>149919.07</v>
      </c>
      <c r="J159" s="153">
        <f>J160+J164+J168+J170+J171+J172+J174+J178+J181</f>
        <v>151219.07</v>
      </c>
    </row>
    <row r="160" spans="1:10" s="130" customFormat="1" x14ac:dyDescent="0.25">
      <c r="A160" s="188"/>
      <c r="B160" s="150" t="s">
        <v>125</v>
      </c>
      <c r="C160" s="188"/>
      <c r="D160" s="221" t="s">
        <v>126</v>
      </c>
      <c r="E160" s="153">
        <f>SUM(E161:E163)</f>
        <v>0</v>
      </c>
      <c r="F160" s="153">
        <f t="shared" ref="F160:J160" si="94">SUM(F161:F163)</f>
        <v>0</v>
      </c>
      <c r="G160" s="153">
        <f t="shared" ref="G160" si="95">SUM(G161:G163)</f>
        <v>36700</v>
      </c>
      <c r="H160" s="153">
        <f t="shared" si="94"/>
        <v>36700</v>
      </c>
      <c r="I160" s="153">
        <f t="shared" si="94"/>
        <v>38000</v>
      </c>
      <c r="J160" s="153">
        <f t="shared" si="94"/>
        <v>39300</v>
      </c>
    </row>
    <row r="161" spans="1:10" s="117" customFormat="1" x14ac:dyDescent="0.25">
      <c r="A161" s="213"/>
      <c r="B161" s="214" t="s">
        <v>502</v>
      </c>
      <c r="C161" s="213"/>
      <c r="D161" s="220" t="s">
        <v>426</v>
      </c>
      <c r="E161" s="161">
        <f>'Rekapitulacija Posebni dio'!C267</f>
        <v>0</v>
      </c>
      <c r="F161" s="161">
        <f>'Rekapitulacija Posebni dio'!D267</f>
        <v>0</v>
      </c>
      <c r="G161" s="161">
        <f>'Rekapitulacija Posebni dio'!E267</f>
        <v>30000</v>
      </c>
      <c r="H161" s="161">
        <f>'Rekapitulacija Posebni dio'!F267</f>
        <v>30000</v>
      </c>
      <c r="I161" s="161">
        <f>'Rekapitulacija Posebni dio'!G267</f>
        <v>31000</v>
      </c>
      <c r="J161" s="161">
        <f>'Rekapitulacija Posebni dio'!H267</f>
        <v>32000</v>
      </c>
    </row>
    <row r="162" spans="1:10" s="117" customFormat="1" x14ac:dyDescent="0.25">
      <c r="A162" s="213"/>
      <c r="B162" s="214" t="s">
        <v>503</v>
      </c>
      <c r="C162" s="213"/>
      <c r="D162" s="220" t="s">
        <v>427</v>
      </c>
      <c r="E162" s="161">
        <f>'Rekapitulacija Posebni dio'!C268</f>
        <v>0</v>
      </c>
      <c r="F162" s="161">
        <f>'Rekapitulacija Posebni dio'!D268</f>
        <v>0</v>
      </c>
      <c r="G162" s="161">
        <f>'Rekapitulacija Posebni dio'!E268</f>
        <v>3500</v>
      </c>
      <c r="H162" s="161">
        <f>'Rekapitulacija Posebni dio'!F268</f>
        <v>3500</v>
      </c>
      <c r="I162" s="161">
        <f>'Rekapitulacija Posebni dio'!G268</f>
        <v>3500</v>
      </c>
      <c r="J162" s="161">
        <f>'Rekapitulacija Posebni dio'!H268</f>
        <v>3500</v>
      </c>
    </row>
    <row r="163" spans="1:10" s="117" customFormat="1" x14ac:dyDescent="0.25">
      <c r="A163" s="213"/>
      <c r="B163" s="214" t="s">
        <v>561</v>
      </c>
      <c r="C163" s="213"/>
      <c r="D163" s="220" t="s">
        <v>562</v>
      </c>
      <c r="E163" s="161">
        <f>'Rekapitulacija Posebni dio'!C269</f>
        <v>0</v>
      </c>
      <c r="F163" s="161">
        <f>'Rekapitulacija Posebni dio'!D269</f>
        <v>0</v>
      </c>
      <c r="G163" s="161">
        <f>'Rekapitulacija Posebni dio'!E269</f>
        <v>3200</v>
      </c>
      <c r="H163" s="161">
        <f>'Rekapitulacija Posebni dio'!F269</f>
        <v>3200</v>
      </c>
      <c r="I163" s="161">
        <f>'Rekapitulacija Posebni dio'!G269</f>
        <v>3500</v>
      </c>
      <c r="J163" s="161">
        <f>'Rekapitulacija Posebni dio'!H269</f>
        <v>3800</v>
      </c>
    </row>
    <row r="164" spans="1:10" s="130" customFormat="1" x14ac:dyDescent="0.25">
      <c r="A164" s="188"/>
      <c r="B164" s="150" t="s">
        <v>127</v>
      </c>
      <c r="C164" s="188"/>
      <c r="D164" s="221" t="s">
        <v>128</v>
      </c>
      <c r="E164" s="153">
        <f t="shared" ref="E164" si="96">SUM(E165:E167)</f>
        <v>0</v>
      </c>
      <c r="F164" s="153">
        <f t="shared" ref="F164:J164" si="97">SUM(F165:F167)</f>
        <v>0</v>
      </c>
      <c r="G164" s="153">
        <f t="shared" ref="G164" si="98">SUM(G165:G167)</f>
        <v>17917.580000000002</v>
      </c>
      <c r="H164" s="153">
        <f t="shared" si="97"/>
        <v>17917.580000000002</v>
      </c>
      <c r="I164" s="153">
        <f t="shared" si="97"/>
        <v>17917.580000000002</v>
      </c>
      <c r="J164" s="153">
        <f t="shared" si="97"/>
        <v>17917.580000000002</v>
      </c>
    </row>
    <row r="165" spans="1:10" s="130" customFormat="1" x14ac:dyDescent="0.25">
      <c r="A165" s="188"/>
      <c r="B165" s="214" t="s">
        <v>524</v>
      </c>
      <c r="C165" s="188"/>
      <c r="D165" s="286" t="s">
        <v>429</v>
      </c>
      <c r="E165" s="161">
        <f>'Rekapitulacija Posebni dio'!C271</f>
        <v>0</v>
      </c>
      <c r="F165" s="161">
        <f>'Rekapitulacija Posebni dio'!D271</f>
        <v>0</v>
      </c>
      <c r="G165" s="161">
        <f>'Rekapitulacija Posebni dio'!E271</f>
        <v>11000</v>
      </c>
      <c r="H165" s="161">
        <f>'Rekapitulacija Posebni dio'!F271</f>
        <v>11000</v>
      </c>
      <c r="I165" s="161">
        <f>'Rekapitulacija Posebni dio'!G271</f>
        <v>11250</v>
      </c>
      <c r="J165" s="161">
        <f>'Rekapitulacija Posebni dio'!H271</f>
        <v>11450</v>
      </c>
    </row>
    <row r="166" spans="1:10" s="130" customFormat="1" x14ac:dyDescent="0.25">
      <c r="A166" s="188"/>
      <c r="B166" s="214" t="s">
        <v>525</v>
      </c>
      <c r="C166" s="188"/>
      <c r="D166" s="286" t="s">
        <v>430</v>
      </c>
      <c r="E166" s="161">
        <f>'Rekapitulacija Posebni dio'!C272</f>
        <v>0</v>
      </c>
      <c r="F166" s="161">
        <f>'Rekapitulacija Posebni dio'!D272</f>
        <v>0</v>
      </c>
      <c r="G166" s="161">
        <f>'Rekapitulacija Posebni dio'!E272</f>
        <v>3750</v>
      </c>
      <c r="H166" s="161">
        <f>'Rekapitulacija Posebni dio'!F272</f>
        <v>3750</v>
      </c>
      <c r="I166" s="161">
        <f>'Rekapitulacija Posebni dio'!G272</f>
        <v>3750</v>
      </c>
      <c r="J166" s="161">
        <f>'Rekapitulacija Posebni dio'!H272</f>
        <v>3750</v>
      </c>
    </row>
    <row r="167" spans="1:10" s="130" customFormat="1" x14ac:dyDescent="0.25">
      <c r="A167" s="188"/>
      <c r="B167" s="214" t="s">
        <v>526</v>
      </c>
      <c r="C167" s="188"/>
      <c r="D167" s="286" t="s">
        <v>428</v>
      </c>
      <c r="E167" s="161">
        <f>'Rekapitulacija Posebni dio'!C273</f>
        <v>0</v>
      </c>
      <c r="F167" s="161">
        <f>'Rekapitulacija Posebni dio'!D273</f>
        <v>0</v>
      </c>
      <c r="G167" s="161">
        <f>'Rekapitulacija Posebni dio'!E273</f>
        <v>3167.58</v>
      </c>
      <c r="H167" s="161">
        <f>'Rekapitulacija Posebni dio'!F273</f>
        <v>3167.58</v>
      </c>
      <c r="I167" s="161">
        <f>'Rekapitulacija Posebni dio'!G273</f>
        <v>2917.5800000000017</v>
      </c>
      <c r="J167" s="161">
        <f>'Rekapitulacija Posebni dio'!H273</f>
        <v>2717.5800000000017</v>
      </c>
    </row>
    <row r="168" spans="1:10" s="130" customFormat="1" x14ac:dyDescent="0.25">
      <c r="A168" s="188"/>
      <c r="B168" s="150" t="s">
        <v>129</v>
      </c>
      <c r="C168" s="188"/>
      <c r="D168" s="221" t="s">
        <v>130</v>
      </c>
      <c r="E168" s="153">
        <f>E169</f>
        <v>0</v>
      </c>
      <c r="F168" s="153">
        <f t="shared" ref="F168:J168" si="99">F169</f>
        <v>0</v>
      </c>
      <c r="G168" s="153">
        <f t="shared" si="99"/>
        <v>1200</v>
      </c>
      <c r="H168" s="153">
        <f t="shared" si="99"/>
        <v>1200</v>
      </c>
      <c r="I168" s="153">
        <f t="shared" si="99"/>
        <v>1200</v>
      </c>
      <c r="J168" s="153">
        <f t="shared" si="99"/>
        <v>1200</v>
      </c>
    </row>
    <row r="169" spans="1:10" s="117" customFormat="1" x14ac:dyDescent="0.25">
      <c r="A169" s="213"/>
      <c r="B169" s="214" t="s">
        <v>629</v>
      </c>
      <c r="C169" s="213"/>
      <c r="D169" s="220" t="s">
        <v>630</v>
      </c>
      <c r="E169" s="161">
        <f>'Rekapitulacija Posebni dio'!C275</f>
        <v>0</v>
      </c>
      <c r="F169" s="161">
        <f>'Rekapitulacija Posebni dio'!D275</f>
        <v>0</v>
      </c>
      <c r="G169" s="161">
        <f>'Rekapitulacija Posebni dio'!E275</f>
        <v>1200</v>
      </c>
      <c r="H169" s="161">
        <f>'Rekapitulacija Posebni dio'!F275</f>
        <v>1200</v>
      </c>
      <c r="I169" s="161">
        <f>'Rekapitulacija Posebni dio'!G275</f>
        <v>1200</v>
      </c>
      <c r="J169" s="161">
        <f>'Rekapitulacija Posebni dio'!H275</f>
        <v>1200</v>
      </c>
    </row>
    <row r="170" spans="1:10" s="130" customFormat="1" hidden="1" x14ac:dyDescent="0.25">
      <c r="A170" s="188"/>
      <c r="B170" s="171" t="s">
        <v>131</v>
      </c>
      <c r="C170" s="149"/>
      <c r="D170" s="223" t="s">
        <v>132</v>
      </c>
      <c r="E170" s="153"/>
      <c r="F170" s="153"/>
      <c r="G170" s="153"/>
      <c r="H170" s="153"/>
      <c r="I170" s="153"/>
      <c r="J170" s="153"/>
    </row>
    <row r="171" spans="1:10" s="130" customFormat="1" hidden="1" x14ac:dyDescent="0.25">
      <c r="A171" s="188"/>
      <c r="B171" s="171">
        <v>3235</v>
      </c>
      <c r="C171" s="149"/>
      <c r="D171" s="223" t="s">
        <v>133</v>
      </c>
      <c r="E171" s="153"/>
      <c r="F171" s="153"/>
      <c r="G171" s="153"/>
      <c r="H171" s="153"/>
      <c r="I171" s="153"/>
      <c r="J171" s="153"/>
    </row>
    <row r="172" spans="1:10" s="130" customFormat="1" x14ac:dyDescent="0.25">
      <c r="A172" s="188"/>
      <c r="B172" s="171">
        <v>3236</v>
      </c>
      <c r="C172" s="149"/>
      <c r="D172" s="223" t="s">
        <v>134</v>
      </c>
      <c r="E172" s="153">
        <f t="shared" ref="E172:J172" si="100">SUM(E173)</f>
        <v>0</v>
      </c>
      <c r="F172" s="153">
        <f t="shared" si="100"/>
        <v>0</v>
      </c>
      <c r="G172" s="153">
        <f t="shared" si="100"/>
        <v>2654.46</v>
      </c>
      <c r="H172" s="153">
        <f t="shared" si="100"/>
        <v>2654.46</v>
      </c>
      <c r="I172" s="153">
        <f t="shared" si="100"/>
        <v>2654.46</v>
      </c>
      <c r="J172" s="153">
        <f t="shared" si="100"/>
        <v>2654.46</v>
      </c>
    </row>
    <row r="173" spans="1:10" s="130" customFormat="1" x14ac:dyDescent="0.25">
      <c r="A173" s="188"/>
      <c r="B173" s="174">
        <v>32369</v>
      </c>
      <c r="C173" s="131"/>
      <c r="D173" s="222" t="s">
        <v>437</v>
      </c>
      <c r="E173" s="161">
        <f>'Rekapitulacija Posebni dio'!C279</f>
        <v>0</v>
      </c>
      <c r="F173" s="161">
        <f>'Rekapitulacija Posebni dio'!D279</f>
        <v>0</v>
      </c>
      <c r="G173" s="161">
        <f>'Rekapitulacija Posebni dio'!E279</f>
        <v>2654.46</v>
      </c>
      <c r="H173" s="161">
        <f>'Rekapitulacija Posebni dio'!F279</f>
        <v>2654.46</v>
      </c>
      <c r="I173" s="161">
        <f>'Rekapitulacija Posebni dio'!G279</f>
        <v>2654.46</v>
      </c>
      <c r="J173" s="161">
        <f>'Rekapitulacija Posebni dio'!H279</f>
        <v>2654.46</v>
      </c>
    </row>
    <row r="174" spans="1:10" s="130" customFormat="1" x14ac:dyDescent="0.25">
      <c r="A174" s="188"/>
      <c r="B174" s="171">
        <v>3237</v>
      </c>
      <c r="C174" s="149"/>
      <c r="D174" s="223" t="s">
        <v>135</v>
      </c>
      <c r="E174" s="153">
        <f>SUM(E175:E177)</f>
        <v>0</v>
      </c>
      <c r="F174" s="153">
        <f t="shared" ref="F174:J174" si="101">SUM(F175:F177)</f>
        <v>0</v>
      </c>
      <c r="G174" s="153">
        <f t="shared" ref="G174" si="102">SUM(G175:G177)</f>
        <v>49039.14</v>
      </c>
      <c r="H174" s="153">
        <f t="shared" si="101"/>
        <v>49039.14</v>
      </c>
      <c r="I174" s="153">
        <f t="shared" si="101"/>
        <v>49039.14</v>
      </c>
      <c r="J174" s="153">
        <f t="shared" si="101"/>
        <v>49039.14</v>
      </c>
    </row>
    <row r="175" spans="1:10" s="130" customFormat="1" x14ac:dyDescent="0.25">
      <c r="A175" s="188"/>
      <c r="B175" s="174">
        <v>32372</v>
      </c>
      <c r="C175" s="131"/>
      <c r="D175" s="222" t="s">
        <v>438</v>
      </c>
      <c r="E175" s="161">
        <f>'Rekapitulacija Posebni dio'!C281</f>
        <v>0</v>
      </c>
      <c r="F175" s="161">
        <f>'Rekapitulacija Posebni dio'!D281</f>
        <v>0</v>
      </c>
      <c r="G175" s="161">
        <f>'Rekapitulacija Posebni dio'!E281</f>
        <v>37039.14</v>
      </c>
      <c r="H175" s="161">
        <f>'Rekapitulacija Posebni dio'!F281</f>
        <v>37039.14</v>
      </c>
      <c r="I175" s="161">
        <f>'Rekapitulacija Posebni dio'!G281</f>
        <v>37039.14</v>
      </c>
      <c r="J175" s="161">
        <f>'Rekapitulacija Posebni dio'!H281</f>
        <v>37039.14</v>
      </c>
    </row>
    <row r="176" spans="1:10" s="130" customFormat="1" x14ac:dyDescent="0.25">
      <c r="A176" s="188"/>
      <c r="B176" s="174">
        <v>32373</v>
      </c>
      <c r="C176" s="131"/>
      <c r="D176" s="222" t="s">
        <v>543</v>
      </c>
      <c r="E176" s="161">
        <f>'Rekapitulacija Posebni dio'!C282</f>
        <v>0</v>
      </c>
      <c r="F176" s="161">
        <f>'Rekapitulacija Posebni dio'!D282</f>
        <v>0</v>
      </c>
      <c r="G176" s="161">
        <f>'Rekapitulacija Posebni dio'!E282</f>
        <v>5000</v>
      </c>
      <c r="H176" s="161">
        <f>'Rekapitulacija Posebni dio'!F282</f>
        <v>5000</v>
      </c>
      <c r="I176" s="161">
        <f>'Rekapitulacija Posebni dio'!G282</f>
        <v>5000</v>
      </c>
      <c r="J176" s="161">
        <f>'Rekapitulacija Posebni dio'!H282</f>
        <v>5000</v>
      </c>
    </row>
    <row r="177" spans="1:10" s="130" customFormat="1" x14ac:dyDescent="0.25">
      <c r="A177" s="188"/>
      <c r="B177" s="174">
        <v>32379</v>
      </c>
      <c r="C177" s="131"/>
      <c r="D177" s="222" t="s">
        <v>505</v>
      </c>
      <c r="E177" s="161">
        <f>'Rekapitulacija Posebni dio'!C283</f>
        <v>0</v>
      </c>
      <c r="F177" s="161">
        <f>'Rekapitulacija Posebni dio'!D283</f>
        <v>0</v>
      </c>
      <c r="G177" s="161">
        <f>'Rekapitulacija Posebni dio'!E283</f>
        <v>7000</v>
      </c>
      <c r="H177" s="161">
        <f>'Rekapitulacija Posebni dio'!F283</f>
        <v>7000</v>
      </c>
      <c r="I177" s="161">
        <f>'Rekapitulacija Posebni dio'!G283</f>
        <v>7000</v>
      </c>
      <c r="J177" s="161">
        <f>'Rekapitulacija Posebni dio'!H283</f>
        <v>7000</v>
      </c>
    </row>
    <row r="178" spans="1:10" s="130" customFormat="1" x14ac:dyDescent="0.25">
      <c r="A178" s="188"/>
      <c r="B178" s="171" t="s">
        <v>136</v>
      </c>
      <c r="C178" s="149"/>
      <c r="D178" s="223" t="s">
        <v>137</v>
      </c>
      <c r="E178" s="153">
        <f>SUM(E179:E180)</f>
        <v>0</v>
      </c>
      <c r="F178" s="153">
        <f t="shared" ref="F178:J178" si="103">SUM(F179:F180)</f>
        <v>0</v>
      </c>
      <c r="G178" s="153">
        <f t="shared" ref="G178" si="104">SUM(G179:G180)</f>
        <v>13345</v>
      </c>
      <c r="H178" s="153">
        <f t="shared" si="103"/>
        <v>13345</v>
      </c>
      <c r="I178" s="153">
        <f t="shared" si="103"/>
        <v>13345</v>
      </c>
      <c r="J178" s="153">
        <f t="shared" si="103"/>
        <v>13345</v>
      </c>
    </row>
    <row r="179" spans="1:10" s="117" customFormat="1" x14ac:dyDescent="0.25">
      <c r="A179" s="213"/>
      <c r="B179" s="174">
        <v>32381</v>
      </c>
      <c r="C179" s="131"/>
      <c r="D179" s="222" t="s">
        <v>137</v>
      </c>
      <c r="E179" s="161">
        <f>'Rekapitulacija Posebni dio'!C285</f>
        <v>0</v>
      </c>
      <c r="F179" s="161">
        <f>'Rekapitulacija Posebni dio'!D285</f>
        <v>0</v>
      </c>
      <c r="G179" s="161">
        <f>'Rekapitulacija Posebni dio'!E285</f>
        <v>10345</v>
      </c>
      <c r="H179" s="161">
        <f>'Rekapitulacija Posebni dio'!F285</f>
        <v>10345</v>
      </c>
      <c r="I179" s="161">
        <f>'Rekapitulacija Posebni dio'!G285</f>
        <v>10345</v>
      </c>
      <c r="J179" s="161">
        <f>'Rekapitulacija Posebni dio'!H285</f>
        <v>10345</v>
      </c>
    </row>
    <row r="180" spans="1:10" s="117" customFormat="1" x14ac:dyDescent="0.25">
      <c r="A180" s="213"/>
      <c r="B180" s="174">
        <v>32389</v>
      </c>
      <c r="C180" s="131"/>
      <c r="D180" s="222" t="s">
        <v>440</v>
      </c>
      <c r="E180" s="161">
        <f>'Rekapitulacija Posebni dio'!C286</f>
        <v>0</v>
      </c>
      <c r="F180" s="161">
        <f>'Rekapitulacija Posebni dio'!D286</f>
        <v>0</v>
      </c>
      <c r="G180" s="161">
        <f>'Rekapitulacija Posebni dio'!E286</f>
        <v>3000</v>
      </c>
      <c r="H180" s="161">
        <f>'Rekapitulacija Posebni dio'!F286</f>
        <v>3000</v>
      </c>
      <c r="I180" s="161">
        <f>'Rekapitulacija Posebni dio'!G286</f>
        <v>3000</v>
      </c>
      <c r="J180" s="161">
        <f>'Rekapitulacija Posebni dio'!H286</f>
        <v>3000</v>
      </c>
    </row>
    <row r="181" spans="1:10" s="130" customFormat="1" x14ac:dyDescent="0.25">
      <c r="A181" s="188"/>
      <c r="B181" s="171" t="s">
        <v>138</v>
      </c>
      <c r="C181" s="149"/>
      <c r="D181" s="223" t="s">
        <v>139</v>
      </c>
      <c r="E181" s="153">
        <f>SUM(E182:E184)</f>
        <v>0</v>
      </c>
      <c r="F181" s="153">
        <f t="shared" ref="F181:J181" si="105">SUM(F182:F184)</f>
        <v>0</v>
      </c>
      <c r="G181" s="153">
        <f t="shared" ref="G181" si="106">SUM(G182:G184)</f>
        <v>27762.89</v>
      </c>
      <c r="H181" s="153">
        <f t="shared" si="105"/>
        <v>27762.89</v>
      </c>
      <c r="I181" s="153">
        <f t="shared" si="105"/>
        <v>27762.89</v>
      </c>
      <c r="J181" s="153">
        <f t="shared" si="105"/>
        <v>27762.89</v>
      </c>
    </row>
    <row r="182" spans="1:10" s="117" customFormat="1" x14ac:dyDescent="0.25">
      <c r="A182" s="213"/>
      <c r="B182" s="174">
        <v>32391</v>
      </c>
      <c r="C182" s="131"/>
      <c r="D182" s="222" t="s">
        <v>613</v>
      </c>
      <c r="E182" s="161">
        <f>'Rekapitulacija Posebni dio'!C288</f>
        <v>0</v>
      </c>
      <c r="F182" s="161">
        <f>'Rekapitulacija Posebni dio'!D288</f>
        <v>0</v>
      </c>
      <c r="G182" s="161">
        <f>'Rekapitulacija Posebni dio'!E288</f>
        <v>1500</v>
      </c>
      <c r="H182" s="161">
        <f>'Rekapitulacija Posebni dio'!F288</f>
        <v>1500</v>
      </c>
      <c r="I182" s="161">
        <f>'Rekapitulacija Posebni dio'!G288</f>
        <v>1500</v>
      </c>
      <c r="J182" s="161">
        <f>'Rekapitulacija Posebni dio'!H288</f>
        <v>1500</v>
      </c>
    </row>
    <row r="183" spans="1:10" s="117" customFormat="1" x14ac:dyDescent="0.25">
      <c r="A183" s="213"/>
      <c r="B183" s="174">
        <v>32394</v>
      </c>
      <c r="C183" s="131"/>
      <c r="D183" s="222" t="s">
        <v>441</v>
      </c>
      <c r="E183" s="161">
        <f>'Rekapitulacija Posebni dio'!C289</f>
        <v>0</v>
      </c>
      <c r="F183" s="161">
        <f>'Rekapitulacija Posebni dio'!D289</f>
        <v>0</v>
      </c>
      <c r="G183" s="161">
        <f>'Rekapitulacija Posebni dio'!E289</f>
        <v>3000</v>
      </c>
      <c r="H183" s="161">
        <f>'Rekapitulacija Posebni dio'!F289</f>
        <v>3000</v>
      </c>
      <c r="I183" s="161">
        <f>'Rekapitulacija Posebni dio'!G289</f>
        <v>3000</v>
      </c>
      <c r="J183" s="161">
        <f>'Rekapitulacija Posebni dio'!H289</f>
        <v>3000</v>
      </c>
    </row>
    <row r="184" spans="1:10" s="130" customFormat="1" x14ac:dyDescent="0.25">
      <c r="A184" s="213"/>
      <c r="B184" s="174">
        <v>32399</v>
      </c>
      <c r="C184" s="131"/>
      <c r="D184" s="222" t="s">
        <v>311</v>
      </c>
      <c r="E184" s="161">
        <f>'Rekapitulacija Posebni dio'!C290</f>
        <v>0</v>
      </c>
      <c r="F184" s="161">
        <f>'Rekapitulacija Posebni dio'!D290</f>
        <v>0</v>
      </c>
      <c r="G184" s="161">
        <f>'Rekapitulacija Posebni dio'!E290</f>
        <v>23262.89</v>
      </c>
      <c r="H184" s="161">
        <f>'Rekapitulacija Posebni dio'!F290</f>
        <v>23262.89</v>
      </c>
      <c r="I184" s="161">
        <f>'Rekapitulacija Posebni dio'!G290</f>
        <v>23262.89</v>
      </c>
      <c r="J184" s="161">
        <f>'Rekapitulacija Posebni dio'!H290</f>
        <v>23262.89</v>
      </c>
    </row>
    <row r="185" spans="1:10" s="130" customFormat="1" x14ac:dyDescent="0.25">
      <c r="A185" s="213"/>
      <c r="B185" s="154" t="s">
        <v>579</v>
      </c>
      <c r="C185" s="149"/>
      <c r="D185" s="156" t="s">
        <v>633</v>
      </c>
      <c r="E185" s="153">
        <f>E186+E189+E191</f>
        <v>0</v>
      </c>
      <c r="F185" s="153">
        <f t="shared" ref="F185:J185" si="107">F186+F189+F191</f>
        <v>0</v>
      </c>
      <c r="G185" s="153">
        <f t="shared" ref="G185" si="108">G186+G189+G191</f>
        <v>2112554.21</v>
      </c>
      <c r="H185" s="153">
        <f t="shared" si="107"/>
        <v>2112554.21</v>
      </c>
      <c r="I185" s="153">
        <f t="shared" si="107"/>
        <v>2128200</v>
      </c>
      <c r="J185" s="153">
        <f t="shared" si="107"/>
        <v>2129500</v>
      </c>
    </row>
    <row r="186" spans="1:10" s="130" customFormat="1" x14ac:dyDescent="0.25">
      <c r="A186" s="213"/>
      <c r="B186" s="154" t="s">
        <v>580</v>
      </c>
      <c r="C186" s="149"/>
      <c r="D186" s="156" t="s">
        <v>633</v>
      </c>
      <c r="E186" s="153">
        <f>E187+E188</f>
        <v>0</v>
      </c>
      <c r="F186" s="153">
        <f t="shared" ref="F186:J186" si="109">F187+F188</f>
        <v>0</v>
      </c>
      <c r="G186" s="153">
        <f t="shared" ref="G186" si="110">G187+G188</f>
        <v>29954.21</v>
      </c>
      <c r="H186" s="153">
        <f t="shared" si="109"/>
        <v>29954.21</v>
      </c>
      <c r="I186" s="153">
        <f t="shared" si="109"/>
        <v>31200</v>
      </c>
      <c r="J186" s="153">
        <f t="shared" si="109"/>
        <v>32500</v>
      </c>
    </row>
    <row r="187" spans="1:10" s="130" customFormat="1" x14ac:dyDescent="0.25">
      <c r="A187" s="213"/>
      <c r="B187" s="158" t="s">
        <v>581</v>
      </c>
      <c r="C187" s="149"/>
      <c r="D187" s="159" t="s">
        <v>583</v>
      </c>
      <c r="E187" s="161">
        <f>'Rekapitulacija Posebni dio'!C293</f>
        <v>0</v>
      </c>
      <c r="F187" s="161">
        <f>'Rekapitulacija Posebni dio'!D293</f>
        <v>0</v>
      </c>
      <c r="G187" s="161">
        <f>'Rekapitulacija Posebni dio'!E293</f>
        <v>7954.21</v>
      </c>
      <c r="H187" s="161">
        <f>'Rekapitulacija Posebni dio'!F293</f>
        <v>7954.21</v>
      </c>
      <c r="I187" s="161">
        <f>'Rekapitulacija Posebni dio'!G293</f>
        <v>8200</v>
      </c>
      <c r="J187" s="161">
        <f>'Rekapitulacija Posebni dio'!H293</f>
        <v>8500</v>
      </c>
    </row>
    <row r="188" spans="1:10" s="130" customFormat="1" x14ac:dyDescent="0.25">
      <c r="A188" s="213"/>
      <c r="B188" s="158" t="s">
        <v>582</v>
      </c>
      <c r="C188" s="149"/>
      <c r="D188" s="159" t="s">
        <v>584</v>
      </c>
      <c r="E188" s="161">
        <f>'Rekapitulacija Posebni dio'!C294</f>
        <v>0</v>
      </c>
      <c r="F188" s="161">
        <f>'Rekapitulacija Posebni dio'!D294</f>
        <v>0</v>
      </c>
      <c r="G188" s="161">
        <f>'Rekapitulacija Posebni dio'!E294</f>
        <v>22000</v>
      </c>
      <c r="H188" s="161">
        <f>'Rekapitulacija Posebni dio'!F294</f>
        <v>22000</v>
      </c>
      <c r="I188" s="161">
        <f>'Rekapitulacija Posebni dio'!G294</f>
        <v>23000</v>
      </c>
      <c r="J188" s="161">
        <f>'Rekapitulacija Posebni dio'!H294</f>
        <v>24000</v>
      </c>
    </row>
    <row r="189" spans="1:10" s="130" customFormat="1" x14ac:dyDescent="0.25">
      <c r="A189" s="213"/>
      <c r="B189" s="369" t="s">
        <v>614</v>
      </c>
      <c r="C189" s="149"/>
      <c r="D189" s="373" t="s">
        <v>616</v>
      </c>
      <c r="E189" s="153">
        <f>E190</f>
        <v>0</v>
      </c>
      <c r="F189" s="153">
        <f t="shared" ref="F189:J189" si="111">F190</f>
        <v>0</v>
      </c>
      <c r="G189" s="153">
        <f t="shared" si="111"/>
        <v>4000</v>
      </c>
      <c r="H189" s="153">
        <f t="shared" si="111"/>
        <v>4000</v>
      </c>
      <c r="I189" s="153">
        <f t="shared" si="111"/>
        <v>4000</v>
      </c>
      <c r="J189" s="153">
        <f t="shared" si="111"/>
        <v>4000</v>
      </c>
    </row>
    <row r="190" spans="1:10" s="130" customFormat="1" x14ac:dyDescent="0.25">
      <c r="A190" s="213"/>
      <c r="B190" s="370" t="s">
        <v>615</v>
      </c>
      <c r="C190" s="149"/>
      <c r="D190" s="374" t="s">
        <v>621</v>
      </c>
      <c r="E190" s="161">
        <f>'Rekapitulacija Posebni dio'!C296</f>
        <v>0</v>
      </c>
      <c r="F190" s="161">
        <f>'Rekapitulacija Posebni dio'!D296</f>
        <v>0</v>
      </c>
      <c r="G190" s="161">
        <f>'Rekapitulacija Posebni dio'!E296</f>
        <v>4000</v>
      </c>
      <c r="H190" s="161">
        <f>'Rekapitulacija Posebni dio'!F296</f>
        <v>4000</v>
      </c>
      <c r="I190" s="161">
        <f>'Rekapitulacija Posebni dio'!G296</f>
        <v>4000</v>
      </c>
      <c r="J190" s="161">
        <f>'Rekapitulacija Posebni dio'!H296</f>
        <v>4000</v>
      </c>
    </row>
    <row r="191" spans="1:10" s="130" customFormat="1" x14ac:dyDescent="0.25">
      <c r="A191" s="213"/>
      <c r="B191" s="369" t="s">
        <v>617</v>
      </c>
      <c r="C191" s="149"/>
      <c r="D191" s="373" t="s">
        <v>619</v>
      </c>
      <c r="E191" s="153">
        <f>E192</f>
        <v>0</v>
      </c>
      <c r="F191" s="153">
        <f t="shared" ref="F191:J191" si="112">F192</f>
        <v>0</v>
      </c>
      <c r="G191" s="153">
        <f t="shared" si="112"/>
        <v>2078600</v>
      </c>
      <c r="H191" s="153">
        <f t="shared" si="112"/>
        <v>2078600</v>
      </c>
      <c r="I191" s="153">
        <f t="shared" si="112"/>
        <v>2093000</v>
      </c>
      <c r="J191" s="153">
        <f t="shared" si="112"/>
        <v>2093000</v>
      </c>
    </row>
    <row r="192" spans="1:10" s="130" customFormat="1" x14ac:dyDescent="0.25">
      <c r="A192" s="213"/>
      <c r="B192" s="370" t="s">
        <v>618</v>
      </c>
      <c r="C192" s="149"/>
      <c r="D192" s="374" t="s">
        <v>620</v>
      </c>
      <c r="E192" s="161">
        <f>'Rekapitulacija Posebni dio'!C298</f>
        <v>0</v>
      </c>
      <c r="F192" s="161">
        <f>'Rekapitulacija Posebni dio'!D298</f>
        <v>0</v>
      </c>
      <c r="G192" s="161">
        <f>'Rekapitulacija Posebni dio'!E298</f>
        <v>2078600</v>
      </c>
      <c r="H192" s="161">
        <f>'Rekapitulacija Posebni dio'!F298</f>
        <v>2078600</v>
      </c>
      <c r="I192" s="161">
        <f>'Rekapitulacija Posebni dio'!G298</f>
        <v>2093000</v>
      </c>
      <c r="J192" s="161">
        <f>'Rekapitulacija Posebni dio'!H298</f>
        <v>2093000</v>
      </c>
    </row>
    <row r="193" spans="1:10" s="117" customFormat="1" x14ac:dyDescent="0.25">
      <c r="A193" s="213"/>
      <c r="B193" s="171">
        <v>329</v>
      </c>
      <c r="C193" s="149"/>
      <c r="D193" s="223" t="s">
        <v>141</v>
      </c>
      <c r="E193" s="153">
        <f>E194+E195+E197+E199+E201+E203+E204</f>
        <v>0</v>
      </c>
      <c r="F193" s="153">
        <f t="shared" ref="F193:J193" si="113">F194+F195+F197+F199+F201+F203+F204</f>
        <v>0</v>
      </c>
      <c r="G193" s="153">
        <f t="shared" si="113"/>
        <v>22654.46</v>
      </c>
      <c r="H193" s="153">
        <f t="shared" si="113"/>
        <v>22654.46</v>
      </c>
      <c r="I193" s="153">
        <f t="shared" si="113"/>
        <v>22654.46</v>
      </c>
      <c r="J193" s="153">
        <f t="shared" si="113"/>
        <v>22654.46</v>
      </c>
    </row>
    <row r="194" spans="1:10" s="117" customFormat="1" ht="14.25" hidden="1" customHeight="1" x14ac:dyDescent="0.25">
      <c r="A194" s="213"/>
      <c r="B194" s="171" t="s">
        <v>142</v>
      </c>
      <c r="C194" s="149"/>
      <c r="D194" s="156" t="s">
        <v>143</v>
      </c>
      <c r="E194" s="153"/>
      <c r="F194" s="153"/>
      <c r="G194" s="153"/>
      <c r="H194" s="153"/>
      <c r="I194" s="153"/>
      <c r="J194" s="153"/>
    </row>
    <row r="195" spans="1:10" s="117" customFormat="1" x14ac:dyDescent="0.25">
      <c r="A195" s="213"/>
      <c r="B195" s="171">
        <v>3292</v>
      </c>
      <c r="C195" s="149"/>
      <c r="D195" s="223" t="s">
        <v>144</v>
      </c>
      <c r="E195" s="153">
        <f t="shared" ref="E195:J195" si="114">SUM(E196)</f>
        <v>0</v>
      </c>
      <c r="F195" s="153">
        <f t="shared" si="114"/>
        <v>0</v>
      </c>
      <c r="G195" s="153">
        <f t="shared" si="114"/>
        <v>2654.46</v>
      </c>
      <c r="H195" s="153">
        <f t="shared" si="114"/>
        <v>2654.46</v>
      </c>
      <c r="I195" s="153">
        <f t="shared" si="114"/>
        <v>2654.46</v>
      </c>
      <c r="J195" s="153">
        <f t="shared" si="114"/>
        <v>2654.46</v>
      </c>
    </row>
    <row r="196" spans="1:10" s="117" customFormat="1" x14ac:dyDescent="0.25">
      <c r="A196" s="213"/>
      <c r="B196" s="174" t="s">
        <v>516</v>
      </c>
      <c r="C196" s="131"/>
      <c r="D196" s="286" t="s">
        <v>517</v>
      </c>
      <c r="E196" s="161">
        <f>'Rekapitulacija Posebni dio'!C301</f>
        <v>0</v>
      </c>
      <c r="F196" s="161">
        <f>'Rekapitulacija Posebni dio'!D301</f>
        <v>0</v>
      </c>
      <c r="G196" s="161">
        <f>'Rekapitulacija Posebni dio'!E301</f>
        <v>2654.46</v>
      </c>
      <c r="H196" s="161">
        <f>'Rekapitulacija Posebni dio'!F301</f>
        <v>2654.46</v>
      </c>
      <c r="I196" s="161">
        <f>'Rekapitulacija Posebni dio'!G301</f>
        <v>2654.46</v>
      </c>
      <c r="J196" s="161">
        <f>'Rekapitulacija Posebni dio'!H301</f>
        <v>2654.46</v>
      </c>
    </row>
    <row r="197" spans="1:10" s="117" customFormat="1" x14ac:dyDescent="0.25">
      <c r="A197" s="213"/>
      <c r="B197" s="171">
        <v>3293</v>
      </c>
      <c r="C197" s="149"/>
      <c r="D197" s="223" t="s">
        <v>145</v>
      </c>
      <c r="E197" s="153">
        <f t="shared" ref="E197:J197" si="115">SUM(E198)</f>
        <v>0</v>
      </c>
      <c r="F197" s="153">
        <f t="shared" si="115"/>
        <v>0</v>
      </c>
      <c r="G197" s="153">
        <f t="shared" si="115"/>
        <v>5000</v>
      </c>
      <c r="H197" s="153">
        <f t="shared" si="115"/>
        <v>5000</v>
      </c>
      <c r="I197" s="153">
        <f t="shared" si="115"/>
        <v>5000</v>
      </c>
      <c r="J197" s="153">
        <f t="shared" si="115"/>
        <v>5000</v>
      </c>
    </row>
    <row r="198" spans="1:10" s="117" customFormat="1" x14ac:dyDescent="0.25">
      <c r="A198" s="213"/>
      <c r="B198" s="174">
        <v>32931</v>
      </c>
      <c r="C198" s="131"/>
      <c r="D198" s="222" t="s">
        <v>145</v>
      </c>
      <c r="E198" s="161">
        <f>'Rekapitulacija Posebni dio'!C304</f>
        <v>0</v>
      </c>
      <c r="F198" s="161">
        <f>'Rekapitulacija Posebni dio'!D304</f>
        <v>0</v>
      </c>
      <c r="G198" s="161">
        <f>'Rekapitulacija Posebni dio'!E304</f>
        <v>5000</v>
      </c>
      <c r="H198" s="161">
        <f>'Rekapitulacija Posebni dio'!F304</f>
        <v>5000</v>
      </c>
      <c r="I198" s="161">
        <f>'Rekapitulacija Posebni dio'!G304</f>
        <v>5000</v>
      </c>
      <c r="J198" s="161">
        <f>'Rekapitulacija Posebni dio'!H304</f>
        <v>5000</v>
      </c>
    </row>
    <row r="199" spans="1:10" s="117" customFormat="1" x14ac:dyDescent="0.25">
      <c r="A199" s="213"/>
      <c r="B199" s="171">
        <v>3294</v>
      </c>
      <c r="C199" s="149"/>
      <c r="D199" s="223" t="s">
        <v>146</v>
      </c>
      <c r="E199" s="153">
        <f>E200</f>
        <v>0</v>
      </c>
      <c r="F199" s="153">
        <f t="shared" ref="F199:J199" si="116">F200</f>
        <v>0</v>
      </c>
      <c r="G199" s="153">
        <f t="shared" si="116"/>
        <v>3000</v>
      </c>
      <c r="H199" s="153">
        <f t="shared" si="116"/>
        <v>3000</v>
      </c>
      <c r="I199" s="153">
        <f t="shared" si="116"/>
        <v>3000</v>
      </c>
      <c r="J199" s="153">
        <f t="shared" si="116"/>
        <v>3000</v>
      </c>
    </row>
    <row r="200" spans="1:10" s="117" customFormat="1" x14ac:dyDescent="0.25">
      <c r="A200" s="213"/>
      <c r="B200" s="174">
        <v>32941</v>
      </c>
      <c r="C200" s="131"/>
      <c r="D200" s="222" t="s">
        <v>447</v>
      </c>
      <c r="E200" s="161">
        <f>'Rekapitulacija Posebni dio'!C306</f>
        <v>0</v>
      </c>
      <c r="F200" s="161">
        <f>'Rekapitulacija Posebni dio'!D306</f>
        <v>0</v>
      </c>
      <c r="G200" s="161">
        <f>'Rekapitulacija Posebni dio'!E306</f>
        <v>3000</v>
      </c>
      <c r="H200" s="161">
        <f>'Rekapitulacija Posebni dio'!F306</f>
        <v>3000</v>
      </c>
      <c r="I200" s="161">
        <f>'Rekapitulacija Posebni dio'!G306</f>
        <v>3000</v>
      </c>
      <c r="J200" s="161">
        <f>'Rekapitulacija Posebni dio'!H306</f>
        <v>3000</v>
      </c>
    </row>
    <row r="201" spans="1:10" s="117" customFormat="1" x14ac:dyDescent="0.25">
      <c r="A201" s="213"/>
      <c r="B201" s="166">
        <v>3295</v>
      </c>
      <c r="C201" s="149"/>
      <c r="D201" s="227" t="s">
        <v>147</v>
      </c>
      <c r="E201" s="153">
        <f>E202</f>
        <v>0</v>
      </c>
      <c r="F201" s="153">
        <f t="shared" ref="F201:J201" si="117">F202</f>
        <v>0</v>
      </c>
      <c r="G201" s="153">
        <f t="shared" si="117"/>
        <v>12000</v>
      </c>
      <c r="H201" s="153">
        <f t="shared" si="117"/>
        <v>12000</v>
      </c>
      <c r="I201" s="153">
        <f t="shared" si="117"/>
        <v>12000</v>
      </c>
      <c r="J201" s="153">
        <f t="shared" si="117"/>
        <v>12000</v>
      </c>
    </row>
    <row r="202" spans="1:10" s="117" customFormat="1" x14ac:dyDescent="0.25">
      <c r="A202" s="213"/>
      <c r="B202" s="181">
        <v>32955</v>
      </c>
      <c r="C202" s="131"/>
      <c r="D202" s="224" t="s">
        <v>636</v>
      </c>
      <c r="E202" s="161">
        <f>'Rekapitulacija Posebni dio'!C308</f>
        <v>0</v>
      </c>
      <c r="F202" s="161">
        <f>'Rekapitulacija Posebni dio'!D308</f>
        <v>0</v>
      </c>
      <c r="G202" s="161">
        <f>'Rekapitulacija Posebni dio'!E308</f>
        <v>12000</v>
      </c>
      <c r="H202" s="161">
        <f>'Rekapitulacija Posebni dio'!F308</f>
        <v>12000</v>
      </c>
      <c r="I202" s="161">
        <f>'Rekapitulacija Posebni dio'!G308</f>
        <v>12000</v>
      </c>
      <c r="J202" s="161">
        <f>'Rekapitulacija Posebni dio'!H308</f>
        <v>12000</v>
      </c>
    </row>
    <row r="203" spans="1:10" s="117" customFormat="1" hidden="1" x14ac:dyDescent="0.25">
      <c r="A203" s="213"/>
      <c r="B203" s="166">
        <v>3296</v>
      </c>
      <c r="C203" s="149"/>
      <c r="D203" s="227" t="s">
        <v>148</v>
      </c>
      <c r="E203" s="153"/>
      <c r="F203" s="153"/>
      <c r="G203" s="153"/>
      <c r="H203" s="153"/>
      <c r="I203" s="153"/>
      <c r="J203" s="153"/>
    </row>
    <row r="204" spans="1:10" s="130" customFormat="1" hidden="1" x14ac:dyDescent="0.25">
      <c r="A204" s="213"/>
      <c r="B204" s="166" t="s">
        <v>149</v>
      </c>
      <c r="C204" s="149"/>
      <c r="D204" s="227" t="s">
        <v>141</v>
      </c>
      <c r="E204" s="153"/>
      <c r="F204" s="153"/>
      <c r="G204" s="153"/>
      <c r="H204" s="153"/>
      <c r="I204" s="153"/>
      <c r="J204" s="153"/>
    </row>
    <row r="205" spans="1:10" s="130" customFormat="1" x14ac:dyDescent="0.25">
      <c r="A205" s="213"/>
      <c r="B205" s="132">
        <v>34</v>
      </c>
      <c r="C205" s="199"/>
      <c r="D205" s="212" t="s">
        <v>150</v>
      </c>
      <c r="E205" s="165">
        <f t="shared" ref="E205:J205" si="118">SUM(E206)</f>
        <v>0</v>
      </c>
      <c r="F205" s="165">
        <f t="shared" si="118"/>
        <v>0</v>
      </c>
      <c r="G205" s="165">
        <f t="shared" si="118"/>
        <v>6900</v>
      </c>
      <c r="H205" s="165">
        <f t="shared" si="118"/>
        <v>6900</v>
      </c>
      <c r="I205" s="165">
        <f t="shared" si="118"/>
        <v>7038</v>
      </c>
      <c r="J205" s="165">
        <f t="shared" si="118"/>
        <v>7178.76</v>
      </c>
    </row>
    <row r="206" spans="1:10" s="215" customFormat="1" x14ac:dyDescent="0.25">
      <c r="A206" s="213"/>
      <c r="B206" s="171">
        <v>343</v>
      </c>
      <c r="C206" s="149"/>
      <c r="D206" s="223" t="s">
        <v>151</v>
      </c>
      <c r="E206" s="153">
        <f>E207+E209+E210+E211</f>
        <v>0</v>
      </c>
      <c r="F206" s="153">
        <f t="shared" ref="F206:J206" si="119">F207+F209+F210+F211</f>
        <v>0</v>
      </c>
      <c r="G206" s="153">
        <f t="shared" ref="G206" si="120">G207+G209+G210+G211</f>
        <v>6900</v>
      </c>
      <c r="H206" s="153">
        <f t="shared" si="119"/>
        <v>6900</v>
      </c>
      <c r="I206" s="153">
        <f t="shared" si="119"/>
        <v>7038</v>
      </c>
      <c r="J206" s="153">
        <f t="shared" si="119"/>
        <v>7178.76</v>
      </c>
    </row>
    <row r="207" spans="1:10" s="215" customFormat="1" x14ac:dyDescent="0.25">
      <c r="A207" s="213"/>
      <c r="B207" s="171" t="s">
        <v>152</v>
      </c>
      <c r="C207" s="149"/>
      <c r="D207" s="223" t="s">
        <v>153</v>
      </c>
      <c r="E207" s="153">
        <f>E208</f>
        <v>0</v>
      </c>
      <c r="F207" s="153">
        <f t="shared" ref="F207:J207" si="121">F208</f>
        <v>0</v>
      </c>
      <c r="G207" s="153">
        <f t="shared" si="121"/>
        <v>6200</v>
      </c>
      <c r="H207" s="153">
        <f t="shared" si="121"/>
        <v>6200</v>
      </c>
      <c r="I207" s="153">
        <f t="shared" si="121"/>
        <v>6300</v>
      </c>
      <c r="J207" s="153">
        <f t="shared" si="121"/>
        <v>6400</v>
      </c>
    </row>
    <row r="208" spans="1:10" s="117" customFormat="1" x14ac:dyDescent="0.25">
      <c r="A208" s="213"/>
      <c r="B208" s="174">
        <v>34312</v>
      </c>
      <c r="C208" s="131"/>
      <c r="D208" s="222" t="s">
        <v>453</v>
      </c>
      <c r="E208" s="161">
        <f>'Rekapitulacija Posebni dio'!C314</f>
        <v>0</v>
      </c>
      <c r="F208" s="161">
        <f>'Rekapitulacija Posebni dio'!D314</f>
        <v>0</v>
      </c>
      <c r="G208" s="161">
        <f>'Rekapitulacija Posebni dio'!E314</f>
        <v>6200</v>
      </c>
      <c r="H208" s="161">
        <f>'Rekapitulacija Posebni dio'!F314</f>
        <v>6200</v>
      </c>
      <c r="I208" s="161">
        <f>'Rekapitulacija Posebni dio'!G314</f>
        <v>6300</v>
      </c>
      <c r="J208" s="161">
        <f>'Rekapitulacija Posebni dio'!H314</f>
        <v>6400</v>
      </c>
    </row>
    <row r="209" spans="1:10" s="117" customFormat="1" hidden="1" x14ac:dyDescent="0.25">
      <c r="A209" s="188"/>
      <c r="B209" s="171">
        <v>3432</v>
      </c>
      <c r="C209" s="149"/>
      <c r="D209" s="223" t="s">
        <v>202</v>
      </c>
      <c r="E209" s="153"/>
      <c r="F209" s="153"/>
      <c r="G209" s="153"/>
      <c r="H209" s="153"/>
      <c r="I209" s="153"/>
      <c r="J209" s="153"/>
    </row>
    <row r="210" spans="1:10" s="117" customFormat="1" hidden="1" x14ac:dyDescent="0.25">
      <c r="A210" s="188"/>
      <c r="B210" s="166">
        <v>3433</v>
      </c>
      <c r="C210" s="149"/>
      <c r="D210" s="227" t="s">
        <v>154</v>
      </c>
      <c r="E210" s="153"/>
      <c r="F210" s="153"/>
      <c r="G210" s="153"/>
      <c r="H210" s="153"/>
      <c r="I210" s="153"/>
      <c r="J210" s="153"/>
    </row>
    <row r="211" spans="1:10" s="117" customFormat="1" x14ac:dyDescent="0.25">
      <c r="A211" s="188"/>
      <c r="B211" s="166">
        <v>3434</v>
      </c>
      <c r="C211" s="149"/>
      <c r="D211" s="227" t="s">
        <v>155</v>
      </c>
      <c r="E211" s="153">
        <f>E212</f>
        <v>0</v>
      </c>
      <c r="F211" s="153">
        <f t="shared" ref="F211:J211" si="122">F212</f>
        <v>0</v>
      </c>
      <c r="G211" s="153">
        <f t="shared" si="122"/>
        <v>700</v>
      </c>
      <c r="H211" s="153">
        <f t="shared" si="122"/>
        <v>700</v>
      </c>
      <c r="I211" s="153">
        <f t="shared" si="122"/>
        <v>738</v>
      </c>
      <c r="J211" s="153">
        <f t="shared" si="122"/>
        <v>778.76</v>
      </c>
    </row>
    <row r="212" spans="1:10" s="117" customFormat="1" x14ac:dyDescent="0.25">
      <c r="A212" s="213"/>
      <c r="B212" s="181">
        <v>34349</v>
      </c>
      <c r="C212" s="131"/>
      <c r="D212" s="224" t="s">
        <v>151</v>
      </c>
      <c r="E212" s="161">
        <f>'Rekapitulacija Posebni dio'!C318</f>
        <v>0</v>
      </c>
      <c r="F212" s="161">
        <f>'Rekapitulacija Posebni dio'!D318</f>
        <v>0</v>
      </c>
      <c r="G212" s="161">
        <f>'Rekapitulacija Posebni dio'!E318</f>
        <v>700</v>
      </c>
      <c r="H212" s="161">
        <f>'Rekapitulacija Posebni dio'!F318</f>
        <v>700</v>
      </c>
      <c r="I212" s="161">
        <f>'Rekapitulacija Posebni dio'!G318</f>
        <v>738</v>
      </c>
      <c r="J212" s="161">
        <f>'Rekapitulacija Posebni dio'!H318</f>
        <v>778.76</v>
      </c>
    </row>
    <row r="213" spans="1:10" s="130" customFormat="1" hidden="1" x14ac:dyDescent="0.25">
      <c r="A213" s="213"/>
      <c r="B213" s="132">
        <v>37</v>
      </c>
      <c r="C213" s="199"/>
      <c r="D213" s="212" t="s">
        <v>159</v>
      </c>
      <c r="E213" s="165">
        <f t="shared" ref="E213:J214" si="123">SUM(E214)</f>
        <v>0</v>
      </c>
      <c r="F213" s="165">
        <f t="shared" si="123"/>
        <v>0</v>
      </c>
      <c r="G213" s="165"/>
      <c r="H213" s="165">
        <f t="shared" si="123"/>
        <v>0</v>
      </c>
      <c r="I213" s="165">
        <f t="shared" si="123"/>
        <v>0</v>
      </c>
      <c r="J213" s="165">
        <f t="shared" si="123"/>
        <v>0</v>
      </c>
    </row>
    <row r="214" spans="1:10" s="130" customFormat="1" hidden="1" x14ac:dyDescent="0.25">
      <c r="A214" s="213"/>
      <c r="B214" s="150">
        <v>372</v>
      </c>
      <c r="C214" s="188"/>
      <c r="D214" s="228" t="s">
        <v>160</v>
      </c>
      <c r="E214" s="153">
        <f t="shared" si="123"/>
        <v>0</v>
      </c>
      <c r="F214" s="153">
        <f t="shared" si="123"/>
        <v>0</v>
      </c>
      <c r="G214" s="153"/>
      <c r="H214" s="153">
        <f t="shared" si="123"/>
        <v>0</v>
      </c>
      <c r="I214" s="153">
        <f t="shared" si="123"/>
        <v>0</v>
      </c>
      <c r="J214" s="153">
        <f t="shared" si="123"/>
        <v>0</v>
      </c>
    </row>
    <row r="215" spans="1:10" s="215" customFormat="1" hidden="1" x14ac:dyDescent="0.25">
      <c r="A215" s="449"/>
      <c r="B215" s="150">
        <v>3721</v>
      </c>
      <c r="C215" s="188"/>
      <c r="D215" s="228" t="s">
        <v>161</v>
      </c>
      <c r="E215" s="153"/>
      <c r="F215" s="153"/>
      <c r="G215" s="153"/>
      <c r="H215" s="153"/>
      <c r="I215" s="153"/>
      <c r="J215" s="153"/>
    </row>
    <row r="216" spans="1:10" s="215" customFormat="1" x14ac:dyDescent="0.25">
      <c r="A216" s="213"/>
      <c r="B216" s="132" t="s">
        <v>162</v>
      </c>
      <c r="C216" s="199"/>
      <c r="D216" s="212" t="s">
        <v>95</v>
      </c>
      <c r="E216" s="165">
        <f t="shared" ref="E216" si="124">E219+E217</f>
        <v>0</v>
      </c>
      <c r="F216" s="165">
        <f t="shared" ref="F216:J216" si="125">F219+F217</f>
        <v>0</v>
      </c>
      <c r="G216" s="165">
        <f t="shared" si="125"/>
        <v>1000</v>
      </c>
      <c r="H216" s="165">
        <f t="shared" si="125"/>
        <v>1000</v>
      </c>
      <c r="I216" s="165">
        <f t="shared" si="125"/>
        <v>1020</v>
      </c>
      <c r="J216" s="165">
        <f t="shared" si="125"/>
        <v>1040.4000000000001</v>
      </c>
    </row>
    <row r="217" spans="1:10" hidden="1" x14ac:dyDescent="0.25">
      <c r="A217" s="213"/>
      <c r="B217" s="150" t="s">
        <v>163</v>
      </c>
      <c r="C217" s="188"/>
      <c r="D217" s="228" t="s">
        <v>69</v>
      </c>
      <c r="E217" s="153">
        <f t="shared" ref="E217:J217" si="126">SUM(E218)</f>
        <v>0</v>
      </c>
      <c r="F217" s="153">
        <f t="shared" si="126"/>
        <v>0</v>
      </c>
      <c r="G217" s="153"/>
      <c r="H217" s="153">
        <f t="shared" si="126"/>
        <v>0</v>
      </c>
      <c r="I217" s="153">
        <f t="shared" si="126"/>
        <v>0</v>
      </c>
      <c r="J217" s="153">
        <f t="shared" si="126"/>
        <v>0</v>
      </c>
    </row>
    <row r="218" spans="1:10" s="129" customFormat="1" hidden="1" x14ac:dyDescent="0.25">
      <c r="A218" s="188"/>
      <c r="B218" s="150" t="s">
        <v>165</v>
      </c>
      <c r="C218" s="188"/>
      <c r="D218" s="228" t="s">
        <v>164</v>
      </c>
      <c r="E218" s="153"/>
      <c r="F218" s="153"/>
      <c r="G218" s="153"/>
      <c r="H218" s="153"/>
      <c r="I218" s="153"/>
      <c r="J218" s="153"/>
    </row>
    <row r="219" spans="1:10" s="129" customFormat="1" x14ac:dyDescent="0.25">
      <c r="A219" s="188"/>
      <c r="B219" s="166">
        <v>383</v>
      </c>
      <c r="C219" s="149"/>
      <c r="D219" s="227" t="s">
        <v>166</v>
      </c>
      <c r="E219" s="153">
        <f t="shared" ref="E219" si="127">SUM(E220:E222)</f>
        <v>0</v>
      </c>
      <c r="F219" s="153">
        <f t="shared" ref="F219" si="128">SUM(F220:F222)</f>
        <v>0</v>
      </c>
      <c r="G219" s="153">
        <f>G220+G222</f>
        <v>1000</v>
      </c>
      <c r="H219" s="153">
        <f>H220+H222</f>
        <v>1000</v>
      </c>
      <c r="I219" s="153">
        <f t="shared" ref="I219:J219" si="129">I220+I222</f>
        <v>1020</v>
      </c>
      <c r="J219" s="153">
        <f t="shared" si="129"/>
        <v>1040.4000000000001</v>
      </c>
    </row>
    <row r="220" spans="1:10" s="129" customFormat="1" x14ac:dyDescent="0.25">
      <c r="A220" s="188"/>
      <c r="B220" s="166">
        <v>3834</v>
      </c>
      <c r="C220" s="149"/>
      <c r="D220" s="365" t="s">
        <v>169</v>
      </c>
      <c r="E220" s="153">
        <f>E221</f>
        <v>0</v>
      </c>
      <c r="F220" s="153">
        <f t="shared" ref="F220:J220" si="130">F221</f>
        <v>0</v>
      </c>
      <c r="G220" s="153">
        <f t="shared" si="130"/>
        <v>1000</v>
      </c>
      <c r="H220" s="153">
        <f t="shared" si="130"/>
        <v>1000</v>
      </c>
      <c r="I220" s="153">
        <f t="shared" si="130"/>
        <v>1020</v>
      </c>
      <c r="J220" s="153">
        <f t="shared" si="130"/>
        <v>1040.4000000000001</v>
      </c>
    </row>
    <row r="221" spans="1:10" x14ac:dyDescent="0.25">
      <c r="A221" s="213"/>
      <c r="B221" s="181">
        <v>38431</v>
      </c>
      <c r="C221" s="131"/>
      <c r="D221" s="286" t="s">
        <v>169</v>
      </c>
      <c r="E221" s="161">
        <f>'Rekapitulacija Posebni dio'!C327</f>
        <v>0</v>
      </c>
      <c r="F221" s="161">
        <f>'Rekapitulacija Posebni dio'!D327</f>
        <v>0</v>
      </c>
      <c r="G221" s="161">
        <f>'Rekapitulacija Posebni dio'!E327</f>
        <v>1000</v>
      </c>
      <c r="H221" s="161">
        <f>'Rekapitulacija Posebni dio'!F327</f>
        <v>1000</v>
      </c>
      <c r="I221" s="161">
        <f>'Rekapitulacija Posebni dio'!G327</f>
        <v>1020</v>
      </c>
      <c r="J221" s="161">
        <f>'Rekapitulacija Posebni dio'!H327</f>
        <v>1040.4000000000001</v>
      </c>
    </row>
    <row r="222" spans="1:10" s="129" customFormat="1" hidden="1" x14ac:dyDescent="0.25">
      <c r="A222" s="188"/>
      <c r="B222" s="166">
        <v>3835</v>
      </c>
      <c r="C222" s="149"/>
      <c r="D222" s="227" t="s">
        <v>170</v>
      </c>
      <c r="E222" s="153"/>
      <c r="F222" s="153"/>
      <c r="G222" s="153"/>
      <c r="H222" s="153"/>
      <c r="I222" s="153"/>
      <c r="J222" s="153"/>
    </row>
    <row r="223" spans="1:10" hidden="1" x14ac:dyDescent="0.25">
      <c r="A223" s="230">
        <v>4</v>
      </c>
      <c r="B223" s="231"/>
      <c r="C223" s="232"/>
      <c r="D223" s="233" t="s">
        <v>171</v>
      </c>
      <c r="E223" s="198">
        <f t="shared" ref="E223" si="131">E224+E227</f>
        <v>0</v>
      </c>
      <c r="F223" s="198">
        <f t="shared" ref="F223:J223" si="132">F224+F227</f>
        <v>0</v>
      </c>
      <c r="G223" s="198"/>
      <c r="H223" s="198">
        <f t="shared" si="132"/>
        <v>0</v>
      </c>
      <c r="I223" s="198">
        <f t="shared" si="132"/>
        <v>0</v>
      </c>
      <c r="J223" s="198">
        <f t="shared" si="132"/>
        <v>0</v>
      </c>
    </row>
    <row r="224" spans="1:10" hidden="1" x14ac:dyDescent="0.25">
      <c r="A224" s="155"/>
      <c r="B224" s="132" t="s">
        <v>172</v>
      </c>
      <c r="C224" s="199"/>
      <c r="D224" s="234" t="s">
        <v>173</v>
      </c>
      <c r="E224" s="165">
        <f t="shared" ref="E224:J225" si="133">SUM(E225)</f>
        <v>0</v>
      </c>
      <c r="F224" s="165">
        <f t="shared" si="133"/>
        <v>0</v>
      </c>
      <c r="G224" s="165"/>
      <c r="H224" s="165">
        <f t="shared" si="133"/>
        <v>0</v>
      </c>
      <c r="I224" s="165">
        <f t="shared" si="133"/>
        <v>0</v>
      </c>
      <c r="J224" s="165">
        <f t="shared" si="133"/>
        <v>0</v>
      </c>
    </row>
    <row r="225" spans="1:10" hidden="1" x14ac:dyDescent="0.25">
      <c r="A225" s="155"/>
      <c r="B225" s="171">
        <v>412</v>
      </c>
      <c r="C225" s="154"/>
      <c r="D225" s="236" t="s">
        <v>178</v>
      </c>
      <c r="E225" s="153">
        <f t="shared" si="133"/>
        <v>0</v>
      </c>
      <c r="F225" s="153">
        <f t="shared" si="133"/>
        <v>0</v>
      </c>
      <c r="G225" s="153"/>
      <c r="H225" s="153">
        <f t="shared" si="133"/>
        <v>0</v>
      </c>
      <c r="I225" s="153">
        <f t="shared" si="133"/>
        <v>0</v>
      </c>
      <c r="J225" s="153">
        <f t="shared" si="133"/>
        <v>0</v>
      </c>
    </row>
    <row r="226" spans="1:10" hidden="1" x14ac:dyDescent="0.25">
      <c r="A226" s="177"/>
      <c r="B226" s="171">
        <v>4123</v>
      </c>
      <c r="C226" s="154"/>
      <c r="D226" s="236" t="s">
        <v>179</v>
      </c>
      <c r="E226" s="161"/>
      <c r="F226" s="161"/>
      <c r="G226" s="161"/>
      <c r="H226" s="161"/>
      <c r="I226" s="161"/>
      <c r="J226" s="161"/>
    </row>
    <row r="227" spans="1:10" hidden="1" x14ac:dyDescent="0.25">
      <c r="A227" s="213"/>
      <c r="B227" s="132">
        <v>42</v>
      </c>
      <c r="C227" s="199"/>
      <c r="D227" s="212" t="s">
        <v>180</v>
      </c>
      <c r="E227" s="165">
        <f t="shared" ref="E227" si="134">SUM(E228,E230,E240,E242)</f>
        <v>0</v>
      </c>
      <c r="F227" s="165">
        <f t="shared" ref="F227:J227" si="135">SUM(F228,F230,F240,F242)</f>
        <v>0</v>
      </c>
      <c r="G227" s="165"/>
      <c r="H227" s="165">
        <f t="shared" si="135"/>
        <v>0</v>
      </c>
      <c r="I227" s="165">
        <f t="shared" si="135"/>
        <v>0</v>
      </c>
      <c r="J227" s="165">
        <f t="shared" si="135"/>
        <v>0</v>
      </c>
    </row>
    <row r="228" spans="1:10" hidden="1" x14ac:dyDescent="0.25">
      <c r="A228" s="213"/>
      <c r="B228" s="150" t="s">
        <v>203</v>
      </c>
      <c r="C228" s="188"/>
      <c r="D228" s="228" t="s">
        <v>204</v>
      </c>
      <c r="E228" s="153">
        <f t="shared" ref="E228:J228" si="136">SUM(E229)</f>
        <v>0</v>
      </c>
      <c r="F228" s="153">
        <f t="shared" si="136"/>
        <v>0</v>
      </c>
      <c r="G228" s="153"/>
      <c r="H228" s="153">
        <f t="shared" si="136"/>
        <v>0</v>
      </c>
      <c r="I228" s="153">
        <f t="shared" si="136"/>
        <v>0</v>
      </c>
      <c r="J228" s="153">
        <f t="shared" si="136"/>
        <v>0</v>
      </c>
    </row>
    <row r="229" spans="1:10" hidden="1" x14ac:dyDescent="0.25">
      <c r="A229" s="213"/>
      <c r="B229" s="214" t="s">
        <v>205</v>
      </c>
      <c r="C229" s="213"/>
      <c r="D229" s="229" t="s">
        <v>206</v>
      </c>
      <c r="E229" s="161"/>
      <c r="F229" s="161"/>
      <c r="G229" s="161"/>
      <c r="H229" s="161"/>
      <c r="I229" s="161"/>
      <c r="J229" s="161"/>
    </row>
    <row r="230" spans="1:10" hidden="1" x14ac:dyDescent="0.25">
      <c r="A230" s="213"/>
      <c r="B230" s="150">
        <v>422</v>
      </c>
      <c r="C230" s="213"/>
      <c r="D230" s="188" t="s">
        <v>181</v>
      </c>
      <c r="E230" s="153">
        <f t="shared" ref="E230" si="137">E231+E234+E238</f>
        <v>0</v>
      </c>
      <c r="F230" s="153">
        <f t="shared" ref="F230:J230" si="138">F231+F234+F238</f>
        <v>0</v>
      </c>
      <c r="G230" s="153"/>
      <c r="H230" s="153">
        <f t="shared" si="138"/>
        <v>0</v>
      </c>
      <c r="I230" s="153">
        <f t="shared" si="138"/>
        <v>0</v>
      </c>
      <c r="J230" s="153">
        <f t="shared" si="138"/>
        <v>0</v>
      </c>
    </row>
    <row r="231" spans="1:10" hidden="1" x14ac:dyDescent="0.25">
      <c r="A231" s="213"/>
      <c r="B231" s="150" t="s">
        <v>182</v>
      </c>
      <c r="C231" s="188"/>
      <c r="D231" s="188" t="s">
        <v>183</v>
      </c>
      <c r="E231" s="153">
        <f t="shared" ref="E231:J231" si="139">SUM(E232)</f>
        <v>0</v>
      </c>
      <c r="F231" s="153">
        <f t="shared" si="139"/>
        <v>0</v>
      </c>
      <c r="G231" s="153"/>
      <c r="H231" s="153">
        <f t="shared" si="139"/>
        <v>0</v>
      </c>
      <c r="I231" s="153">
        <f t="shared" si="139"/>
        <v>0</v>
      </c>
      <c r="J231" s="153">
        <f t="shared" si="139"/>
        <v>0</v>
      </c>
    </row>
    <row r="232" spans="1:10" hidden="1" x14ac:dyDescent="0.25">
      <c r="A232" s="213"/>
      <c r="B232" s="214" t="s">
        <v>522</v>
      </c>
      <c r="C232" s="213"/>
      <c r="D232" s="213" t="s">
        <v>461</v>
      </c>
      <c r="E232" s="161"/>
      <c r="F232" s="161"/>
      <c r="G232" s="161"/>
      <c r="H232" s="161"/>
      <c r="I232" s="161"/>
      <c r="J232" s="161"/>
    </row>
    <row r="233" spans="1:10" hidden="1" x14ac:dyDescent="0.25">
      <c r="A233" s="213"/>
      <c r="B233" s="214" t="s">
        <v>184</v>
      </c>
      <c r="C233" s="213"/>
      <c r="D233" s="213" t="s">
        <v>185</v>
      </c>
      <c r="E233" s="161"/>
      <c r="F233" s="161"/>
      <c r="G233" s="161"/>
      <c r="H233" s="161"/>
      <c r="I233" s="161"/>
      <c r="J233" s="161"/>
    </row>
    <row r="234" spans="1:10" hidden="1" x14ac:dyDescent="0.25">
      <c r="A234" s="213"/>
      <c r="B234" s="171">
        <v>4223</v>
      </c>
      <c r="C234" s="154"/>
      <c r="D234" s="236" t="s">
        <v>186</v>
      </c>
      <c r="E234" s="153">
        <f t="shared" ref="E234:J234" si="140">SUM(E235)</f>
        <v>0</v>
      </c>
      <c r="F234" s="153">
        <f t="shared" si="140"/>
        <v>0</v>
      </c>
      <c r="G234" s="153"/>
      <c r="H234" s="153">
        <f t="shared" si="140"/>
        <v>0</v>
      </c>
      <c r="I234" s="153">
        <f t="shared" si="140"/>
        <v>0</v>
      </c>
      <c r="J234" s="153">
        <f t="shared" si="140"/>
        <v>0</v>
      </c>
    </row>
    <row r="235" spans="1:10" hidden="1" x14ac:dyDescent="0.25">
      <c r="A235" s="177"/>
      <c r="B235" s="174">
        <v>42231</v>
      </c>
      <c r="C235" s="158"/>
      <c r="D235" s="237" t="s">
        <v>464</v>
      </c>
      <c r="E235" s="161"/>
      <c r="F235" s="161"/>
      <c r="G235" s="161"/>
      <c r="H235" s="161"/>
      <c r="I235" s="161"/>
      <c r="J235" s="161"/>
    </row>
    <row r="236" spans="1:10" hidden="1" x14ac:dyDescent="0.25">
      <c r="A236" s="177"/>
      <c r="B236" s="174">
        <v>4224</v>
      </c>
      <c r="C236" s="158"/>
      <c r="D236" s="237" t="s">
        <v>187</v>
      </c>
      <c r="E236" s="161"/>
      <c r="F236" s="161"/>
      <c r="G236" s="161"/>
      <c r="H236" s="161"/>
      <c r="I236" s="161"/>
      <c r="J236" s="161"/>
    </row>
    <row r="237" spans="1:10" hidden="1" x14ac:dyDescent="0.25">
      <c r="A237" s="177"/>
      <c r="B237" s="174">
        <v>4225</v>
      </c>
      <c r="C237" s="158"/>
      <c r="D237" s="237" t="s">
        <v>188</v>
      </c>
      <c r="E237" s="161"/>
      <c r="F237" s="161"/>
      <c r="G237" s="161"/>
      <c r="H237" s="161"/>
      <c r="I237" s="161"/>
      <c r="J237" s="161"/>
    </row>
    <row r="238" spans="1:10" hidden="1" x14ac:dyDescent="0.25">
      <c r="A238" s="177"/>
      <c r="B238" s="171">
        <v>4227</v>
      </c>
      <c r="C238" s="154"/>
      <c r="D238" s="236" t="s">
        <v>189</v>
      </c>
      <c r="E238" s="153">
        <f t="shared" ref="E238:J238" si="141">SUM(E239)</f>
        <v>0</v>
      </c>
      <c r="F238" s="153">
        <f t="shared" si="141"/>
        <v>0</v>
      </c>
      <c r="G238" s="153"/>
      <c r="H238" s="153">
        <f t="shared" si="141"/>
        <v>0</v>
      </c>
      <c r="I238" s="153">
        <f t="shared" si="141"/>
        <v>0</v>
      </c>
      <c r="J238" s="153">
        <f t="shared" si="141"/>
        <v>0</v>
      </c>
    </row>
    <row r="239" spans="1:10" hidden="1" x14ac:dyDescent="0.25">
      <c r="A239" s="177"/>
      <c r="B239" s="174">
        <v>42273</v>
      </c>
      <c r="C239" s="158"/>
      <c r="D239" s="286" t="s">
        <v>189</v>
      </c>
      <c r="E239" s="161"/>
      <c r="F239" s="161"/>
      <c r="G239" s="161"/>
      <c r="H239" s="161"/>
      <c r="I239" s="161"/>
      <c r="J239" s="161"/>
    </row>
    <row r="240" spans="1:10" s="129" customFormat="1" hidden="1" x14ac:dyDescent="0.25">
      <c r="A240" s="155"/>
      <c r="B240" s="171">
        <v>423</v>
      </c>
      <c r="C240" s="154"/>
      <c r="D240" s="236" t="s">
        <v>190</v>
      </c>
      <c r="E240" s="153">
        <f t="shared" ref="E240:J240" si="142">E241</f>
        <v>0</v>
      </c>
      <c r="F240" s="153">
        <f t="shared" si="142"/>
        <v>0</v>
      </c>
      <c r="G240" s="153"/>
      <c r="H240" s="153">
        <f t="shared" si="142"/>
        <v>0</v>
      </c>
      <c r="I240" s="153">
        <f t="shared" si="142"/>
        <v>0</v>
      </c>
      <c r="J240" s="153">
        <f t="shared" si="142"/>
        <v>0</v>
      </c>
    </row>
    <row r="241" spans="1:10" hidden="1" x14ac:dyDescent="0.25">
      <c r="A241" s="177"/>
      <c r="B241" s="174">
        <v>4231</v>
      </c>
      <c r="C241" s="158"/>
      <c r="D241" s="237" t="s">
        <v>190</v>
      </c>
      <c r="E241" s="161"/>
      <c r="F241" s="161"/>
      <c r="G241" s="161"/>
      <c r="H241" s="161"/>
      <c r="I241" s="161"/>
      <c r="J241" s="161"/>
    </row>
    <row r="242" spans="1:10" hidden="1" x14ac:dyDescent="0.25">
      <c r="A242" s="177"/>
      <c r="B242" s="171">
        <v>426</v>
      </c>
      <c r="C242" s="154"/>
      <c r="D242" s="236" t="s">
        <v>191</v>
      </c>
      <c r="E242" s="153">
        <f t="shared" ref="E242:J242" si="143">E243</f>
        <v>0</v>
      </c>
      <c r="F242" s="153">
        <f t="shared" si="143"/>
        <v>0</v>
      </c>
      <c r="G242" s="153"/>
      <c r="H242" s="153">
        <f t="shared" si="143"/>
        <v>0</v>
      </c>
      <c r="I242" s="153">
        <f t="shared" si="143"/>
        <v>0</v>
      </c>
      <c r="J242" s="153">
        <f t="shared" si="143"/>
        <v>0</v>
      </c>
    </row>
    <row r="243" spans="1:10" hidden="1" x14ac:dyDescent="0.25">
      <c r="A243" s="177"/>
      <c r="B243" s="174">
        <v>4262</v>
      </c>
      <c r="C243" s="158"/>
      <c r="D243" s="237" t="s">
        <v>192</v>
      </c>
      <c r="E243" s="161"/>
      <c r="F243" s="161"/>
      <c r="G243" s="161"/>
      <c r="H243" s="161"/>
      <c r="I243" s="161"/>
      <c r="J243" s="161"/>
    </row>
    <row r="244" spans="1:10" x14ac:dyDescent="0.25">
      <c r="A244" s="238"/>
      <c r="B244" s="239"/>
      <c r="C244" s="241" t="s">
        <v>66</v>
      </c>
      <c r="D244" s="242" t="s">
        <v>207</v>
      </c>
      <c r="E244" s="243">
        <f t="shared" ref="E244:J244" si="144">E109+E223</f>
        <v>0</v>
      </c>
      <c r="F244" s="243">
        <f t="shared" si="144"/>
        <v>0</v>
      </c>
      <c r="G244" s="243">
        <f t="shared" si="144"/>
        <v>3804916.33</v>
      </c>
      <c r="H244" s="243">
        <f t="shared" si="144"/>
        <v>3804916.33</v>
      </c>
      <c r="I244" s="243">
        <f t="shared" si="144"/>
        <v>3850540.33</v>
      </c>
      <c r="J244" s="243">
        <f t="shared" si="144"/>
        <v>3882388.81</v>
      </c>
    </row>
    <row r="245" spans="1:10" x14ac:dyDescent="0.25">
      <c r="A245" s="465"/>
      <c r="B245" s="466"/>
      <c r="C245" s="467" t="s">
        <v>83</v>
      </c>
      <c r="D245" s="468" t="s">
        <v>711</v>
      </c>
      <c r="E245" s="472"/>
      <c r="F245" s="472"/>
      <c r="G245" s="472">
        <f>G244</f>
        <v>3804916.33</v>
      </c>
      <c r="H245" s="472">
        <f>H244</f>
        <v>3804916.33</v>
      </c>
      <c r="I245" s="472">
        <f t="shared" ref="I245:J245" si="145">I244</f>
        <v>3850540.33</v>
      </c>
      <c r="J245" s="472">
        <f t="shared" si="145"/>
        <v>3882388.81</v>
      </c>
    </row>
    <row r="246" spans="1:10" s="117" customFormat="1" x14ac:dyDescent="0.25">
      <c r="A246" s="208" t="s">
        <v>83</v>
      </c>
      <c r="B246" s="208"/>
      <c r="C246" s="209"/>
      <c r="D246" s="210" t="s">
        <v>84</v>
      </c>
      <c r="E246" s="211">
        <f t="shared" ref="E246" si="146">E247+E270+E387+E399+E403+E408</f>
        <v>0</v>
      </c>
      <c r="F246" s="211">
        <f t="shared" ref="F246:J246" si="147">F247+F270+F387+F399+F403+F408</f>
        <v>0</v>
      </c>
      <c r="G246" s="211">
        <f t="shared" ref="G246" si="148">G247+G270+G387+G399+G403+G408</f>
        <v>21324784.77</v>
      </c>
      <c r="H246" s="211">
        <f t="shared" si="147"/>
        <v>21324784.77</v>
      </c>
      <c r="I246" s="211">
        <f t="shared" si="147"/>
        <v>21627066.129999999</v>
      </c>
      <c r="J246" s="211">
        <f t="shared" si="147"/>
        <v>21934695.609999999</v>
      </c>
    </row>
    <row r="247" spans="1:10" s="117" customFormat="1" x14ac:dyDescent="0.25">
      <c r="A247" s="188"/>
      <c r="B247" s="132">
        <v>31</v>
      </c>
      <c r="C247" s="199"/>
      <c r="D247" s="212" t="s">
        <v>85</v>
      </c>
      <c r="E247" s="135">
        <f t="shared" ref="E247" si="149">E248+E257+E265</f>
        <v>0</v>
      </c>
      <c r="F247" s="135">
        <f t="shared" ref="F247:J247" si="150">F248+F257+F265</f>
        <v>0</v>
      </c>
      <c r="G247" s="135">
        <f t="shared" ref="G247" si="151">G248+G257+G265</f>
        <v>13895551.15</v>
      </c>
      <c r="H247" s="135">
        <f t="shared" si="150"/>
        <v>13895551.15</v>
      </c>
      <c r="I247" s="135">
        <f t="shared" si="150"/>
        <v>14019016.51</v>
      </c>
      <c r="J247" s="135">
        <f t="shared" si="150"/>
        <v>14142396.4</v>
      </c>
    </row>
    <row r="248" spans="1:10" s="130" customFormat="1" x14ac:dyDescent="0.25">
      <c r="A248" s="188"/>
      <c r="B248" s="150">
        <v>311</v>
      </c>
      <c r="C248" s="213"/>
      <c r="D248" s="188" t="s">
        <v>86</v>
      </c>
      <c r="E248" s="153">
        <f t="shared" ref="E248" si="152">E249+E253+E255</f>
        <v>0</v>
      </c>
      <c r="F248" s="153">
        <f t="shared" ref="F248:J248" si="153">F249+F253+F255</f>
        <v>0</v>
      </c>
      <c r="G248" s="153">
        <f t="shared" ref="G248" si="154">G249+G253+G255</f>
        <v>11748762.310000001</v>
      </c>
      <c r="H248" s="153">
        <f t="shared" si="153"/>
        <v>11748762.310000001</v>
      </c>
      <c r="I248" s="153">
        <f t="shared" si="153"/>
        <v>11813800</v>
      </c>
      <c r="J248" s="153">
        <f t="shared" si="153"/>
        <v>11886800</v>
      </c>
    </row>
    <row r="249" spans="1:10" s="130" customFormat="1" x14ac:dyDescent="0.25">
      <c r="A249" s="188"/>
      <c r="B249" s="150">
        <v>3111</v>
      </c>
      <c r="C249" s="213"/>
      <c r="D249" s="188" t="s">
        <v>87</v>
      </c>
      <c r="E249" s="153">
        <f t="shared" ref="E249" si="155">SUM(E250:E251)</f>
        <v>0</v>
      </c>
      <c r="F249" s="153">
        <f t="shared" ref="F249:J249" si="156">SUM(F250:F251)</f>
        <v>0</v>
      </c>
      <c r="G249" s="153">
        <f t="shared" ref="G249" si="157">SUM(G250:G251)</f>
        <v>11578762.310000001</v>
      </c>
      <c r="H249" s="153">
        <f t="shared" si="156"/>
        <v>11578762.310000001</v>
      </c>
      <c r="I249" s="153">
        <f t="shared" si="156"/>
        <v>11636800</v>
      </c>
      <c r="J249" s="153">
        <f t="shared" si="156"/>
        <v>11702800</v>
      </c>
    </row>
    <row r="250" spans="1:10" s="130" customFormat="1" x14ac:dyDescent="0.25">
      <c r="A250" s="188"/>
      <c r="B250" s="214" t="s">
        <v>480</v>
      </c>
      <c r="C250" s="213"/>
      <c r="D250" s="213" t="s">
        <v>87</v>
      </c>
      <c r="E250" s="161">
        <f>'Rekapitulacija Posebni dio'!C12</f>
        <v>0</v>
      </c>
      <c r="F250" s="161">
        <f>'Rekapitulacija Posebni dio'!D12</f>
        <v>0</v>
      </c>
      <c r="G250" s="161">
        <f>'Rekapitulacija Posebni dio'!E12</f>
        <v>11576962.310000001</v>
      </c>
      <c r="H250" s="161">
        <f>'Rekapitulacija Posebni dio'!F12</f>
        <v>11576962.310000001</v>
      </c>
      <c r="I250" s="161">
        <f>'Rekapitulacija Posebni dio'!G12</f>
        <v>11635000</v>
      </c>
      <c r="J250" s="161">
        <f>'Rekapitulacija Posebni dio'!H12</f>
        <v>11701000</v>
      </c>
    </row>
    <row r="251" spans="1:10" s="215" customFormat="1" x14ac:dyDescent="0.25">
      <c r="A251" s="213"/>
      <c r="B251" s="214" t="s">
        <v>481</v>
      </c>
      <c r="C251" s="213"/>
      <c r="D251" s="213" t="s">
        <v>396</v>
      </c>
      <c r="E251" s="161">
        <f>'Rekapitulacija Posebni dio'!C13</f>
        <v>0</v>
      </c>
      <c r="F251" s="161">
        <f>'Rekapitulacija Posebni dio'!D13</f>
        <v>0</v>
      </c>
      <c r="G251" s="161">
        <f>'Rekapitulacija Posebni dio'!E13</f>
        <v>1800</v>
      </c>
      <c r="H251" s="161">
        <f>'Rekapitulacija Posebni dio'!F13</f>
        <v>1800</v>
      </c>
      <c r="I251" s="161">
        <f>'Rekapitulacija Posebni dio'!G13</f>
        <v>1800</v>
      </c>
      <c r="J251" s="161">
        <f>'Rekapitulacija Posebni dio'!H13</f>
        <v>1800</v>
      </c>
    </row>
    <row r="252" spans="1:10" s="215" customFormat="1" hidden="1" x14ac:dyDescent="0.25">
      <c r="A252" s="213"/>
      <c r="B252" s="150" t="s">
        <v>88</v>
      </c>
      <c r="C252" s="188"/>
      <c r="D252" s="188" t="s">
        <v>89</v>
      </c>
      <c r="E252" s="153"/>
      <c r="F252" s="153"/>
      <c r="G252" s="153"/>
      <c r="H252" s="153"/>
      <c r="I252" s="153"/>
      <c r="J252" s="153"/>
    </row>
    <row r="253" spans="1:10" s="215" customFormat="1" x14ac:dyDescent="0.25">
      <c r="A253" s="213"/>
      <c r="B253" s="150" t="s">
        <v>90</v>
      </c>
      <c r="C253" s="188"/>
      <c r="D253" s="188" t="s">
        <v>91</v>
      </c>
      <c r="E253" s="153">
        <f t="shared" ref="E253:J253" si="158">SUM(E254)</f>
        <v>0</v>
      </c>
      <c r="F253" s="153">
        <f t="shared" si="158"/>
        <v>0</v>
      </c>
      <c r="G253" s="153">
        <f t="shared" si="158"/>
        <v>170000</v>
      </c>
      <c r="H253" s="153">
        <f t="shared" si="158"/>
        <v>170000</v>
      </c>
      <c r="I253" s="153">
        <f t="shared" si="158"/>
        <v>177000</v>
      </c>
      <c r="J253" s="153">
        <f t="shared" si="158"/>
        <v>184000</v>
      </c>
    </row>
    <row r="254" spans="1:10" s="215" customFormat="1" x14ac:dyDescent="0.25">
      <c r="A254" s="213"/>
      <c r="B254" s="214" t="s">
        <v>482</v>
      </c>
      <c r="C254" s="213"/>
      <c r="D254" s="213" t="s">
        <v>91</v>
      </c>
      <c r="E254" s="161">
        <f>'Rekapitulacija Posebni dio'!C16</f>
        <v>0</v>
      </c>
      <c r="F254" s="161">
        <f>'Rekapitulacija Posebni dio'!D16</f>
        <v>0</v>
      </c>
      <c r="G254" s="161">
        <f>'Rekapitulacija Posebni dio'!E16</f>
        <v>170000</v>
      </c>
      <c r="H254" s="161">
        <f>'Rekapitulacija Posebni dio'!F16</f>
        <v>170000</v>
      </c>
      <c r="I254" s="161">
        <f>'Rekapitulacija Posebni dio'!G16</f>
        <v>177000</v>
      </c>
      <c r="J254" s="161">
        <f>'Rekapitulacija Posebni dio'!H16</f>
        <v>184000</v>
      </c>
    </row>
    <row r="255" spans="1:10" s="215" customFormat="1" hidden="1" x14ac:dyDescent="0.25">
      <c r="A255" s="213"/>
      <c r="B255" s="150" t="s">
        <v>92</v>
      </c>
      <c r="C255" s="188"/>
      <c r="D255" s="188" t="s">
        <v>93</v>
      </c>
      <c r="E255" s="153">
        <f t="shared" ref="E255:J255" si="159">SUM(E256)</f>
        <v>0</v>
      </c>
      <c r="F255" s="153">
        <f t="shared" si="159"/>
        <v>0</v>
      </c>
      <c r="G255" s="153"/>
      <c r="H255" s="153">
        <f t="shared" si="159"/>
        <v>0</v>
      </c>
      <c r="I255" s="153">
        <f t="shared" si="159"/>
        <v>0</v>
      </c>
      <c r="J255" s="153">
        <f t="shared" si="159"/>
        <v>0</v>
      </c>
    </row>
    <row r="256" spans="1:10" s="215" customFormat="1" hidden="1" x14ac:dyDescent="0.25">
      <c r="A256" s="213"/>
      <c r="B256" s="214" t="s">
        <v>483</v>
      </c>
      <c r="C256" s="213"/>
      <c r="D256" s="213" t="s">
        <v>93</v>
      </c>
      <c r="E256" s="161">
        <f>'Rekapitulacija Posebni dio'!C18</f>
        <v>0</v>
      </c>
      <c r="F256" s="161">
        <f>'Rekapitulacija Posebni dio'!D18</f>
        <v>0</v>
      </c>
      <c r="G256" s="161"/>
      <c r="H256" s="161">
        <f>'Rekapitulacija Posebni dio'!F18</f>
        <v>0</v>
      </c>
      <c r="I256" s="161">
        <f>'Rekapitulacija Posebni dio'!G18</f>
        <v>0</v>
      </c>
      <c r="J256" s="161">
        <f>'Rekapitulacija Posebni dio'!H18</f>
        <v>0</v>
      </c>
    </row>
    <row r="257" spans="1:10" s="216" customFormat="1" x14ac:dyDescent="0.25">
      <c r="A257" s="188"/>
      <c r="B257" s="150" t="s">
        <v>94</v>
      </c>
      <c r="C257" s="188"/>
      <c r="D257" s="188" t="s">
        <v>95</v>
      </c>
      <c r="E257" s="153">
        <f t="shared" ref="E257:J257" si="160">SUM(E258)</f>
        <v>0</v>
      </c>
      <c r="F257" s="153">
        <f t="shared" si="160"/>
        <v>0</v>
      </c>
      <c r="G257" s="153">
        <f t="shared" si="160"/>
        <v>350300</v>
      </c>
      <c r="H257" s="153">
        <f t="shared" si="160"/>
        <v>350300</v>
      </c>
      <c r="I257" s="153">
        <f t="shared" si="160"/>
        <v>365500</v>
      </c>
      <c r="J257" s="153">
        <f t="shared" si="160"/>
        <v>380700</v>
      </c>
    </row>
    <row r="258" spans="1:10" s="216" customFormat="1" x14ac:dyDescent="0.25">
      <c r="A258" s="188"/>
      <c r="B258" s="150" t="s">
        <v>96</v>
      </c>
      <c r="C258" s="188"/>
      <c r="D258" s="188" t="s">
        <v>95</v>
      </c>
      <c r="E258" s="153">
        <f t="shared" ref="E258:J258" si="161">SUM(E259:E264)</f>
        <v>0</v>
      </c>
      <c r="F258" s="153">
        <f t="shared" si="161"/>
        <v>0</v>
      </c>
      <c r="G258" s="153">
        <f t="shared" ref="G258" si="162">SUM(G259:G264)</f>
        <v>350300</v>
      </c>
      <c r="H258" s="153">
        <f t="shared" si="161"/>
        <v>350300</v>
      </c>
      <c r="I258" s="153">
        <f t="shared" si="161"/>
        <v>365500</v>
      </c>
      <c r="J258" s="153">
        <f t="shared" si="161"/>
        <v>380700</v>
      </c>
    </row>
    <row r="259" spans="1:10" s="216" customFormat="1" x14ac:dyDescent="0.25">
      <c r="A259" s="188"/>
      <c r="B259" s="214" t="s">
        <v>484</v>
      </c>
      <c r="C259" s="213"/>
      <c r="D259" s="286" t="s">
        <v>398</v>
      </c>
      <c r="E259" s="161">
        <f>'Rekapitulacija Posebni dio'!C21</f>
        <v>0</v>
      </c>
      <c r="F259" s="161">
        <f>'Rekapitulacija Posebni dio'!D21</f>
        <v>0</v>
      </c>
      <c r="G259" s="161">
        <f>'Rekapitulacija Posebni dio'!E21</f>
        <v>124500</v>
      </c>
      <c r="H259" s="161">
        <f>'Rekapitulacija Posebni dio'!F21</f>
        <v>124500</v>
      </c>
      <c r="I259" s="161">
        <f>'Rekapitulacija Posebni dio'!G21</f>
        <v>128000</v>
      </c>
      <c r="J259" s="161">
        <f>'Rekapitulacija Posebni dio'!H21</f>
        <v>131500</v>
      </c>
    </row>
    <row r="260" spans="1:10" s="216" customFormat="1" x14ac:dyDescent="0.25">
      <c r="A260" s="188"/>
      <c r="B260" s="214" t="s">
        <v>485</v>
      </c>
      <c r="C260" s="188"/>
      <c r="D260" s="286" t="s">
        <v>400</v>
      </c>
      <c r="E260" s="161">
        <f>'Rekapitulacija Posebni dio'!C22</f>
        <v>0</v>
      </c>
      <c r="F260" s="161">
        <f>'Rekapitulacija Posebni dio'!D22</f>
        <v>0</v>
      </c>
      <c r="G260" s="161">
        <f>'Rekapitulacija Posebni dio'!E22</f>
        <v>26000</v>
      </c>
      <c r="H260" s="161">
        <f>'Rekapitulacija Posebni dio'!F22</f>
        <v>26000</v>
      </c>
      <c r="I260" s="161">
        <f>'Rekapitulacija Posebni dio'!G22</f>
        <v>28000</v>
      </c>
      <c r="J260" s="161">
        <f>'Rekapitulacija Posebni dio'!H22</f>
        <v>30000</v>
      </c>
    </row>
    <row r="261" spans="1:10" s="216" customFormat="1" x14ac:dyDescent="0.25">
      <c r="A261" s="188"/>
      <c r="B261" s="214" t="s">
        <v>486</v>
      </c>
      <c r="C261" s="188"/>
      <c r="D261" s="286" t="s">
        <v>399</v>
      </c>
      <c r="E261" s="161">
        <f>'Rekapitulacija Posebni dio'!C23</f>
        <v>0</v>
      </c>
      <c r="F261" s="161">
        <f>'Rekapitulacija Posebni dio'!D23</f>
        <v>0</v>
      </c>
      <c r="G261" s="161">
        <f>'Rekapitulacija Posebni dio'!E23</f>
        <v>27000</v>
      </c>
      <c r="H261" s="161">
        <f>'Rekapitulacija Posebni dio'!F23</f>
        <v>27000</v>
      </c>
      <c r="I261" s="161">
        <f>'Rekapitulacija Posebni dio'!G23</f>
        <v>28500</v>
      </c>
      <c r="J261" s="161">
        <f>'Rekapitulacija Posebni dio'!H23</f>
        <v>30000</v>
      </c>
    </row>
    <row r="262" spans="1:10" s="216" customFormat="1" x14ac:dyDescent="0.25">
      <c r="A262" s="188"/>
      <c r="B262" s="214" t="s">
        <v>487</v>
      </c>
      <c r="C262" s="188"/>
      <c r="D262" s="286" t="s">
        <v>401</v>
      </c>
      <c r="E262" s="161">
        <f>'Rekapitulacija Posebni dio'!C24</f>
        <v>0</v>
      </c>
      <c r="F262" s="161">
        <f>'Rekapitulacija Posebni dio'!D24</f>
        <v>0</v>
      </c>
      <c r="G262" s="161">
        <f>'Rekapitulacija Posebni dio'!E24</f>
        <v>13800</v>
      </c>
      <c r="H262" s="161">
        <f>'Rekapitulacija Posebni dio'!F24</f>
        <v>13800</v>
      </c>
      <c r="I262" s="161">
        <f>'Rekapitulacija Posebni dio'!G24</f>
        <v>15000</v>
      </c>
      <c r="J262" s="161">
        <f>'Rekapitulacija Posebni dio'!H24</f>
        <v>16200</v>
      </c>
    </row>
    <row r="263" spans="1:10" s="216" customFormat="1" x14ac:dyDescent="0.25">
      <c r="A263" s="188"/>
      <c r="B263" s="214" t="s">
        <v>488</v>
      </c>
      <c r="C263" s="188"/>
      <c r="D263" s="286" t="s">
        <v>402</v>
      </c>
      <c r="E263" s="161">
        <f>'Rekapitulacija Posebni dio'!C25</f>
        <v>0</v>
      </c>
      <c r="F263" s="161">
        <f>'Rekapitulacija Posebni dio'!D25</f>
        <v>0</v>
      </c>
      <c r="G263" s="161">
        <f>'Rekapitulacija Posebni dio'!E25</f>
        <v>92000</v>
      </c>
      <c r="H263" s="161">
        <f>'Rekapitulacija Posebni dio'!F25</f>
        <v>92000</v>
      </c>
      <c r="I263" s="161">
        <f>'Rekapitulacija Posebni dio'!G25</f>
        <v>95000</v>
      </c>
      <c r="J263" s="161">
        <f>'Rekapitulacija Posebni dio'!H25</f>
        <v>98000</v>
      </c>
    </row>
    <row r="264" spans="1:10" s="215" customFormat="1" x14ac:dyDescent="0.25">
      <c r="A264" s="213"/>
      <c r="B264" s="214" t="s">
        <v>489</v>
      </c>
      <c r="C264" s="213"/>
      <c r="D264" s="286" t="s">
        <v>397</v>
      </c>
      <c r="E264" s="161">
        <f>'Rekapitulacija Posebni dio'!C26</f>
        <v>0</v>
      </c>
      <c r="F264" s="161">
        <f>'Rekapitulacija Posebni dio'!D26</f>
        <v>0</v>
      </c>
      <c r="G264" s="161">
        <f>'Rekapitulacija Posebni dio'!E26</f>
        <v>67000</v>
      </c>
      <c r="H264" s="161">
        <f>'Rekapitulacija Posebni dio'!F26</f>
        <v>67000</v>
      </c>
      <c r="I264" s="161">
        <f>'Rekapitulacija Posebni dio'!G26</f>
        <v>71000</v>
      </c>
      <c r="J264" s="161">
        <f>'Rekapitulacija Posebni dio'!H26</f>
        <v>75000</v>
      </c>
    </row>
    <row r="265" spans="1:10" s="215" customFormat="1" x14ac:dyDescent="0.25">
      <c r="A265" s="188"/>
      <c r="B265" s="154">
        <v>313</v>
      </c>
      <c r="C265" s="188"/>
      <c r="D265" s="188" t="s">
        <v>97</v>
      </c>
      <c r="E265" s="217">
        <f>E266+E268</f>
        <v>0</v>
      </c>
      <c r="F265" s="217">
        <f t="shared" ref="F265:J265" si="163">F266+F268</f>
        <v>0</v>
      </c>
      <c r="G265" s="217">
        <f t="shared" ref="G265" si="164">G266+G268</f>
        <v>1796488.8399999999</v>
      </c>
      <c r="H265" s="217">
        <f t="shared" si="163"/>
        <v>1796488.8399999999</v>
      </c>
      <c r="I265" s="217">
        <f t="shared" si="163"/>
        <v>1839716.51</v>
      </c>
      <c r="J265" s="217">
        <f t="shared" si="163"/>
        <v>1874896.4</v>
      </c>
    </row>
    <row r="266" spans="1:10" s="215" customFormat="1" x14ac:dyDescent="0.25">
      <c r="A266" s="188"/>
      <c r="B266" s="154">
        <v>3132</v>
      </c>
      <c r="C266" s="188"/>
      <c r="D266" s="188" t="s">
        <v>98</v>
      </c>
      <c r="E266" s="217">
        <f t="shared" ref="E266:J266" si="165">SUM(E267)</f>
        <v>0</v>
      </c>
      <c r="F266" s="217">
        <f t="shared" si="165"/>
        <v>0</v>
      </c>
      <c r="G266" s="217">
        <f t="shared" si="165"/>
        <v>1796488.8399999999</v>
      </c>
      <c r="H266" s="217">
        <f t="shared" si="165"/>
        <v>1796488.8399999999</v>
      </c>
      <c r="I266" s="217">
        <f t="shared" si="165"/>
        <v>1839716.51</v>
      </c>
      <c r="J266" s="217">
        <f t="shared" si="165"/>
        <v>1874896.4</v>
      </c>
    </row>
    <row r="267" spans="1:10" s="117" customFormat="1" x14ac:dyDescent="0.25">
      <c r="A267" s="213"/>
      <c r="B267" s="158" t="s">
        <v>490</v>
      </c>
      <c r="C267" s="213"/>
      <c r="D267" s="213" t="s">
        <v>98</v>
      </c>
      <c r="E267" s="161">
        <f>'Rekapitulacija Posebni dio'!C29</f>
        <v>0</v>
      </c>
      <c r="F267" s="161">
        <f>'Rekapitulacija Posebni dio'!D29</f>
        <v>0</v>
      </c>
      <c r="G267" s="161">
        <f>'Rekapitulacija Posebni dio'!E29</f>
        <v>1796488.8399999999</v>
      </c>
      <c r="H267" s="161">
        <f>'Rekapitulacija Posebni dio'!F29</f>
        <v>1796488.8399999999</v>
      </c>
      <c r="I267" s="161">
        <f>'Rekapitulacija Posebni dio'!G29</f>
        <v>1839716.51</v>
      </c>
      <c r="J267" s="161">
        <f>'Rekapitulacija Posebni dio'!H29</f>
        <v>1874896.4</v>
      </c>
    </row>
    <row r="268" spans="1:10" s="117" customFormat="1" hidden="1" x14ac:dyDescent="0.25">
      <c r="A268" s="213"/>
      <c r="B268" s="369" t="s">
        <v>320</v>
      </c>
      <c r="C268" s="213"/>
      <c r="D268" s="365" t="s">
        <v>559</v>
      </c>
      <c r="E268" s="153">
        <f>E269</f>
        <v>0</v>
      </c>
      <c r="F268" s="153">
        <f t="shared" ref="F268:J268" si="166">F269</f>
        <v>0</v>
      </c>
      <c r="G268" s="153"/>
      <c r="H268" s="153">
        <f t="shared" si="166"/>
        <v>0</v>
      </c>
      <c r="I268" s="153">
        <f t="shared" si="166"/>
        <v>0</v>
      </c>
      <c r="J268" s="153">
        <f t="shared" si="166"/>
        <v>0</v>
      </c>
    </row>
    <row r="269" spans="1:10" s="117" customFormat="1" hidden="1" x14ac:dyDescent="0.25">
      <c r="A269" s="213"/>
      <c r="B269" s="370" t="s">
        <v>558</v>
      </c>
      <c r="C269" s="213"/>
      <c r="D269" s="286" t="s">
        <v>560</v>
      </c>
      <c r="E269" s="161">
        <f>'Rekapitulacija Posebni dio'!C31</f>
        <v>0</v>
      </c>
      <c r="F269" s="161">
        <f>'Rekapitulacija Posebni dio'!D31</f>
        <v>0</v>
      </c>
      <c r="G269" s="161"/>
      <c r="H269" s="161">
        <f>'Rekapitulacija Posebni dio'!F31</f>
        <v>0</v>
      </c>
      <c r="I269" s="161">
        <f>'Rekapitulacija Posebni dio'!G31</f>
        <v>0</v>
      </c>
      <c r="J269" s="161">
        <f>'Rekapitulacija Posebni dio'!H31</f>
        <v>0</v>
      </c>
    </row>
    <row r="270" spans="1:10" s="117" customFormat="1" x14ac:dyDescent="0.25">
      <c r="A270" s="188"/>
      <c r="B270" s="132">
        <v>32</v>
      </c>
      <c r="C270" s="199"/>
      <c r="D270" s="212" t="s">
        <v>99</v>
      </c>
      <c r="E270" s="135">
        <f>E271+E284+E313+E355+E358+E366</f>
        <v>0</v>
      </c>
      <c r="F270" s="135">
        <f t="shared" ref="F270:J270" si="167">F271+F284+F313+F355+F358+F366</f>
        <v>0</v>
      </c>
      <c r="G270" s="135">
        <f t="shared" ref="G270" si="168">G271+G284+G313+G355+G358+G366</f>
        <v>7400658.6200000001</v>
      </c>
      <c r="H270" s="135">
        <f t="shared" si="167"/>
        <v>7400658.6200000001</v>
      </c>
      <c r="I270" s="135">
        <f t="shared" si="167"/>
        <v>7581279.6200000001</v>
      </c>
      <c r="J270" s="135">
        <f t="shared" si="167"/>
        <v>7765234.21</v>
      </c>
    </row>
    <row r="271" spans="1:10" s="117" customFormat="1" x14ac:dyDescent="0.25">
      <c r="A271" s="188"/>
      <c r="B271" s="150">
        <v>321</v>
      </c>
      <c r="C271" s="188"/>
      <c r="D271" s="188" t="s">
        <v>100</v>
      </c>
      <c r="E271" s="153">
        <f t="shared" ref="E271" si="169">E272+E277+E279+E282</f>
        <v>0</v>
      </c>
      <c r="F271" s="153">
        <f t="shared" ref="F271:J271" si="170">F272+F277+F279+F282</f>
        <v>0</v>
      </c>
      <c r="G271" s="153">
        <f t="shared" ref="G271" si="171">G272+G277+G279+G282</f>
        <v>250944.29</v>
      </c>
      <c r="H271" s="153">
        <f t="shared" si="170"/>
        <v>250944.29</v>
      </c>
      <c r="I271" s="153">
        <f t="shared" si="170"/>
        <v>257170</v>
      </c>
      <c r="J271" s="153">
        <f t="shared" si="170"/>
        <v>264360</v>
      </c>
    </row>
    <row r="272" spans="1:10" s="117" customFormat="1" x14ac:dyDescent="0.25">
      <c r="A272" s="188"/>
      <c r="B272" s="150" t="s">
        <v>101</v>
      </c>
      <c r="C272" s="188"/>
      <c r="D272" s="188" t="s">
        <v>102</v>
      </c>
      <c r="E272" s="153">
        <f t="shared" ref="E272:F272" si="172">SUM(E273:E276)</f>
        <v>0</v>
      </c>
      <c r="F272" s="153">
        <f t="shared" si="172"/>
        <v>0</v>
      </c>
      <c r="G272" s="153">
        <f>SUM(G273:G276)</f>
        <v>6380</v>
      </c>
      <c r="H272" s="153">
        <f>SUM(H273:H276)</f>
        <v>6380</v>
      </c>
      <c r="I272" s="153">
        <f t="shared" ref="I272:J272" si="173">SUM(I273:I276)</f>
        <v>6920</v>
      </c>
      <c r="J272" s="153">
        <f t="shared" si="173"/>
        <v>7460</v>
      </c>
    </row>
    <row r="273" spans="1:10" s="117" customFormat="1" x14ac:dyDescent="0.25">
      <c r="A273" s="188"/>
      <c r="B273" s="214" t="s">
        <v>521</v>
      </c>
      <c r="C273" s="213"/>
      <c r="D273" s="213" t="s">
        <v>403</v>
      </c>
      <c r="E273" s="161">
        <f>'Rekapitulacija Posebni dio'!C35</f>
        <v>0</v>
      </c>
      <c r="F273" s="161">
        <f>'Rekapitulacija Posebni dio'!D35</f>
        <v>0</v>
      </c>
      <c r="G273" s="161">
        <f>'Rekapitulacija Posebni dio'!E35</f>
        <v>3600</v>
      </c>
      <c r="H273" s="161">
        <f>'Rekapitulacija Posebni dio'!F35</f>
        <v>3600</v>
      </c>
      <c r="I273" s="161">
        <f>'Rekapitulacija Posebni dio'!G35</f>
        <v>3800</v>
      </c>
      <c r="J273" s="161">
        <f>'Rekapitulacija Posebni dio'!H35</f>
        <v>4000</v>
      </c>
    </row>
    <row r="274" spans="1:10" s="117" customFormat="1" x14ac:dyDescent="0.25">
      <c r="A274" s="188"/>
      <c r="B274" s="214" t="s">
        <v>528</v>
      </c>
      <c r="C274" s="213"/>
      <c r="D274" s="213" t="s">
        <v>405</v>
      </c>
      <c r="E274" s="161">
        <f>'Rekapitulacija Posebni dio'!C36</f>
        <v>0</v>
      </c>
      <c r="F274" s="161">
        <f>'Rekapitulacija Posebni dio'!D36</f>
        <v>0</v>
      </c>
      <c r="G274" s="161">
        <f>'Rekapitulacija Posebni dio'!E36</f>
        <v>1500</v>
      </c>
      <c r="H274" s="161">
        <f>'Rekapitulacija Posebni dio'!F36</f>
        <v>1500</v>
      </c>
      <c r="I274" s="161">
        <f>'Rekapitulacija Posebni dio'!G36</f>
        <v>1700</v>
      </c>
      <c r="J274" s="161">
        <f>'Rekapitulacija Posebni dio'!H36</f>
        <v>1900</v>
      </c>
    </row>
    <row r="275" spans="1:10" s="219" customFormat="1" x14ac:dyDescent="0.25">
      <c r="A275" s="213"/>
      <c r="B275" s="214" t="s">
        <v>510</v>
      </c>
      <c r="C275" s="213"/>
      <c r="D275" s="213" t="s">
        <v>406</v>
      </c>
      <c r="E275" s="161">
        <f>'Rekapitulacija Posebni dio'!C37</f>
        <v>0</v>
      </c>
      <c r="F275" s="161">
        <f>'Rekapitulacija Posebni dio'!D37</f>
        <v>0</v>
      </c>
      <c r="G275" s="161">
        <f>'Rekapitulacija Posebni dio'!E37</f>
        <v>1200</v>
      </c>
      <c r="H275" s="161">
        <f>'Rekapitulacija Posebni dio'!F37</f>
        <v>1200</v>
      </c>
      <c r="I275" s="161">
        <f>'Rekapitulacija Posebni dio'!G37</f>
        <v>1300</v>
      </c>
      <c r="J275" s="161">
        <f>'Rekapitulacija Posebni dio'!H37</f>
        <v>1400</v>
      </c>
    </row>
    <row r="276" spans="1:10" s="219" customFormat="1" x14ac:dyDescent="0.25">
      <c r="A276" s="213"/>
      <c r="B276" s="214" t="s">
        <v>587</v>
      </c>
      <c r="C276" s="213"/>
      <c r="D276" s="213" t="s">
        <v>588</v>
      </c>
      <c r="E276" s="161">
        <f>'Rekapitulacija Posebni dio'!C38</f>
        <v>0</v>
      </c>
      <c r="F276" s="161">
        <f>'Rekapitulacija Posebni dio'!D38</f>
        <v>0</v>
      </c>
      <c r="G276" s="161">
        <f>'Rekapitulacija Posebni dio'!E38</f>
        <v>80</v>
      </c>
      <c r="H276" s="161">
        <f>'Rekapitulacija Posebni dio'!F38</f>
        <v>80</v>
      </c>
      <c r="I276" s="161">
        <f>'Rekapitulacija Posebni dio'!G38</f>
        <v>120</v>
      </c>
      <c r="J276" s="161">
        <f>'Rekapitulacija Posebni dio'!H38</f>
        <v>160</v>
      </c>
    </row>
    <row r="277" spans="1:10" s="219" customFormat="1" x14ac:dyDescent="0.25">
      <c r="A277" s="213"/>
      <c r="B277" s="150" t="s">
        <v>103</v>
      </c>
      <c r="C277" s="188"/>
      <c r="D277" s="221" t="s">
        <v>104</v>
      </c>
      <c r="E277" s="153">
        <f t="shared" ref="E277:J277" si="174">SUM(E278)</f>
        <v>0</v>
      </c>
      <c r="F277" s="153">
        <f t="shared" si="174"/>
        <v>0</v>
      </c>
      <c r="G277" s="153">
        <f t="shared" si="174"/>
        <v>234716.27000000002</v>
      </c>
      <c r="H277" s="153">
        <f t="shared" si="174"/>
        <v>234716.27000000002</v>
      </c>
      <c r="I277" s="153">
        <f t="shared" si="174"/>
        <v>240000</v>
      </c>
      <c r="J277" s="153">
        <f t="shared" si="174"/>
        <v>246000</v>
      </c>
    </row>
    <row r="278" spans="1:10" s="117" customFormat="1" x14ac:dyDescent="0.25">
      <c r="A278" s="213"/>
      <c r="B278" s="214" t="s">
        <v>491</v>
      </c>
      <c r="C278" s="213"/>
      <c r="D278" s="220" t="s">
        <v>104</v>
      </c>
      <c r="E278" s="161">
        <f>'Rekapitulacija Posebni dio'!C40</f>
        <v>0</v>
      </c>
      <c r="F278" s="161">
        <f>'Rekapitulacija Posebni dio'!D40</f>
        <v>0</v>
      </c>
      <c r="G278" s="161">
        <f>'Rekapitulacija Posebni dio'!E40</f>
        <v>234716.27000000002</v>
      </c>
      <c r="H278" s="161">
        <f>'Rekapitulacija Posebni dio'!F40</f>
        <v>234716.27000000002</v>
      </c>
      <c r="I278" s="161">
        <f>'Rekapitulacija Posebni dio'!G40</f>
        <v>240000</v>
      </c>
      <c r="J278" s="161">
        <f>'Rekapitulacija Posebni dio'!H40</f>
        <v>246000</v>
      </c>
    </row>
    <row r="279" spans="1:10" s="117" customFormat="1" x14ac:dyDescent="0.25">
      <c r="A279" s="213"/>
      <c r="B279" s="150" t="s">
        <v>105</v>
      </c>
      <c r="C279" s="188"/>
      <c r="D279" s="221" t="s">
        <v>106</v>
      </c>
      <c r="E279" s="153">
        <f t="shared" ref="E279" si="175">SUM(E280:E281)</f>
        <v>0</v>
      </c>
      <c r="F279" s="153">
        <f t="shared" ref="F279:J279" si="176">SUM(F280:F281)</f>
        <v>0</v>
      </c>
      <c r="G279" s="153">
        <f t="shared" ref="G279" si="177">SUM(G280:G281)</f>
        <v>9648.02</v>
      </c>
      <c r="H279" s="153">
        <f t="shared" si="176"/>
        <v>9648.02</v>
      </c>
      <c r="I279" s="153">
        <f t="shared" si="176"/>
        <v>10050</v>
      </c>
      <c r="J279" s="153">
        <f t="shared" si="176"/>
        <v>10700</v>
      </c>
    </row>
    <row r="280" spans="1:10" s="117" customFormat="1" x14ac:dyDescent="0.25">
      <c r="A280" s="213"/>
      <c r="B280" s="214" t="s">
        <v>530</v>
      </c>
      <c r="C280" s="213"/>
      <c r="D280" s="220" t="s">
        <v>407</v>
      </c>
      <c r="E280" s="161">
        <f>'Rekapitulacija Posebni dio'!C42</f>
        <v>0</v>
      </c>
      <c r="F280" s="161">
        <f>'Rekapitulacija Posebni dio'!D42</f>
        <v>0</v>
      </c>
      <c r="G280" s="161">
        <f>'Rekapitulacija Posebni dio'!E42</f>
        <v>6570</v>
      </c>
      <c r="H280" s="161">
        <f>'Rekapitulacija Posebni dio'!F42</f>
        <v>6570</v>
      </c>
      <c r="I280" s="161">
        <f>'Rekapitulacija Posebni dio'!G42</f>
        <v>6750</v>
      </c>
      <c r="J280" s="161">
        <f>'Rekapitulacija Posebni dio'!H42</f>
        <v>7000</v>
      </c>
    </row>
    <row r="281" spans="1:10" s="117" customFormat="1" x14ac:dyDescent="0.25">
      <c r="A281" s="213"/>
      <c r="B281" s="214" t="s">
        <v>511</v>
      </c>
      <c r="C281" s="213"/>
      <c r="D281" s="220" t="s">
        <v>408</v>
      </c>
      <c r="E281" s="161">
        <f>'Rekapitulacija Posebni dio'!C43</f>
        <v>0</v>
      </c>
      <c r="F281" s="161">
        <f>'Rekapitulacija Posebni dio'!D43</f>
        <v>0</v>
      </c>
      <c r="G281" s="161">
        <f>'Rekapitulacija Posebni dio'!E43</f>
        <v>3078.02</v>
      </c>
      <c r="H281" s="161">
        <f>'Rekapitulacija Posebni dio'!F43</f>
        <v>3078.02</v>
      </c>
      <c r="I281" s="161">
        <f>'Rekapitulacija Posebni dio'!G43</f>
        <v>3300</v>
      </c>
      <c r="J281" s="161">
        <f>'Rekapitulacija Posebni dio'!H43</f>
        <v>3700</v>
      </c>
    </row>
    <row r="282" spans="1:10" s="117" customFormat="1" x14ac:dyDescent="0.25">
      <c r="A282" s="213"/>
      <c r="B282" s="150" t="s">
        <v>107</v>
      </c>
      <c r="C282" s="188"/>
      <c r="D282" s="221" t="s">
        <v>108</v>
      </c>
      <c r="E282" s="153">
        <f t="shared" ref="E282:J282" si="178">SUM(E283)</f>
        <v>0</v>
      </c>
      <c r="F282" s="153">
        <f t="shared" si="178"/>
        <v>0</v>
      </c>
      <c r="G282" s="153">
        <f t="shared" si="178"/>
        <v>200</v>
      </c>
      <c r="H282" s="153">
        <f t="shared" si="178"/>
        <v>200</v>
      </c>
      <c r="I282" s="153">
        <f t="shared" si="178"/>
        <v>200</v>
      </c>
      <c r="J282" s="153">
        <f t="shared" si="178"/>
        <v>200</v>
      </c>
    </row>
    <row r="283" spans="1:10" s="117" customFormat="1" x14ac:dyDescent="0.25">
      <c r="A283" s="213"/>
      <c r="B283" s="214" t="s">
        <v>492</v>
      </c>
      <c r="C283" s="213"/>
      <c r="D283" s="220" t="s">
        <v>529</v>
      </c>
      <c r="E283" s="161">
        <f>'Rekapitulacija Posebni dio'!C45</f>
        <v>0</v>
      </c>
      <c r="F283" s="161">
        <f>'Rekapitulacija Posebni dio'!D45</f>
        <v>0</v>
      </c>
      <c r="G283" s="161">
        <f>'Rekapitulacija Posebni dio'!E45</f>
        <v>200</v>
      </c>
      <c r="H283" s="161">
        <f>'Rekapitulacija Posebni dio'!F45</f>
        <v>200</v>
      </c>
      <c r="I283" s="161">
        <f>'Rekapitulacija Posebni dio'!G45</f>
        <v>200</v>
      </c>
      <c r="J283" s="161">
        <f>'Rekapitulacija Posebni dio'!H45</f>
        <v>200</v>
      </c>
    </row>
    <row r="284" spans="1:10" s="130" customFormat="1" x14ac:dyDescent="0.25">
      <c r="A284" s="188"/>
      <c r="B284" s="150" t="s">
        <v>109</v>
      </c>
      <c r="C284" s="188"/>
      <c r="D284" s="221" t="s">
        <v>110</v>
      </c>
      <c r="E284" s="153">
        <f t="shared" ref="E284" si="179">E285+E292+E298+E303+E308+E311</f>
        <v>0</v>
      </c>
      <c r="F284" s="153">
        <f t="shared" ref="F284:J284" si="180">F285+F292+F298+F303+F308+F311</f>
        <v>0</v>
      </c>
      <c r="G284" s="153">
        <f t="shared" ref="G284" si="181">G285+G292+G298+G303+G308+G311</f>
        <v>3285505</v>
      </c>
      <c r="H284" s="153">
        <f t="shared" si="180"/>
        <v>3285505</v>
      </c>
      <c r="I284" s="153">
        <f t="shared" si="180"/>
        <v>3334240.29</v>
      </c>
      <c r="J284" s="153">
        <f t="shared" si="180"/>
        <v>3381444.88</v>
      </c>
    </row>
    <row r="285" spans="1:10" s="130" customFormat="1" x14ac:dyDescent="0.25">
      <c r="A285" s="188"/>
      <c r="B285" s="150" t="s">
        <v>111</v>
      </c>
      <c r="C285" s="188"/>
      <c r="D285" s="188" t="s">
        <v>112</v>
      </c>
      <c r="E285" s="153">
        <f t="shared" ref="E285" si="182">SUM(E286:E291)</f>
        <v>0</v>
      </c>
      <c r="F285" s="153">
        <f t="shared" ref="F285:J285" si="183">SUM(F286:F291)</f>
        <v>0</v>
      </c>
      <c r="G285" s="153">
        <f t="shared" ref="G285" si="184">SUM(G286:G291)</f>
        <v>128000</v>
      </c>
      <c r="H285" s="153">
        <f t="shared" si="183"/>
        <v>128000</v>
      </c>
      <c r="I285" s="153">
        <f t="shared" si="183"/>
        <v>136650</v>
      </c>
      <c r="J285" s="153">
        <f t="shared" si="183"/>
        <v>146300</v>
      </c>
    </row>
    <row r="286" spans="1:10" s="130" customFormat="1" x14ac:dyDescent="0.25">
      <c r="A286" s="188"/>
      <c r="B286" s="214" t="s">
        <v>512</v>
      </c>
      <c r="C286" s="213"/>
      <c r="D286" s="220" t="s">
        <v>410</v>
      </c>
      <c r="E286" s="161">
        <f>'Rekapitulacija Posebni dio'!C48</f>
        <v>0</v>
      </c>
      <c r="F286" s="161">
        <f>'Rekapitulacija Posebni dio'!D48</f>
        <v>0</v>
      </c>
      <c r="G286" s="161">
        <f>'Rekapitulacija Posebni dio'!E48</f>
        <v>41000</v>
      </c>
      <c r="H286" s="161">
        <f>'Rekapitulacija Posebni dio'!F48</f>
        <v>41000</v>
      </c>
      <c r="I286" s="161">
        <f>'Rekapitulacija Posebni dio'!G48</f>
        <v>44500</v>
      </c>
      <c r="J286" s="161">
        <f>'Rekapitulacija Posebni dio'!H48</f>
        <v>48900</v>
      </c>
    </row>
    <row r="287" spans="1:10" s="130" customFormat="1" x14ac:dyDescent="0.25">
      <c r="A287" s="188"/>
      <c r="B287" s="214" t="s">
        <v>531</v>
      </c>
      <c r="C287" s="213"/>
      <c r="D287" s="220" t="s">
        <v>411</v>
      </c>
      <c r="E287" s="161">
        <f>'Rekapitulacija Posebni dio'!C49</f>
        <v>0</v>
      </c>
      <c r="F287" s="161">
        <f>'Rekapitulacija Posebni dio'!D49</f>
        <v>0</v>
      </c>
      <c r="G287" s="161">
        <f>'Rekapitulacija Posebni dio'!E49</f>
        <v>1500</v>
      </c>
      <c r="H287" s="161">
        <f>'Rekapitulacija Posebni dio'!F49</f>
        <v>1500</v>
      </c>
      <c r="I287" s="161">
        <f>'Rekapitulacija Posebni dio'!G49</f>
        <v>1650</v>
      </c>
      <c r="J287" s="161">
        <f>'Rekapitulacija Posebni dio'!H49</f>
        <v>1800</v>
      </c>
    </row>
    <row r="288" spans="1:10" s="130" customFormat="1" x14ac:dyDescent="0.25">
      <c r="A288" s="188"/>
      <c r="B288" s="214" t="s">
        <v>532</v>
      </c>
      <c r="C288" s="213"/>
      <c r="D288" s="220" t="s">
        <v>412</v>
      </c>
      <c r="E288" s="161">
        <f>'Rekapitulacija Posebni dio'!C50</f>
        <v>0</v>
      </c>
      <c r="F288" s="161">
        <f>'Rekapitulacija Posebni dio'!D50</f>
        <v>0</v>
      </c>
      <c r="G288" s="161">
        <f>'Rekapitulacija Posebni dio'!E50</f>
        <v>58500</v>
      </c>
      <c r="H288" s="161">
        <f>'Rekapitulacija Posebni dio'!F50</f>
        <v>58500</v>
      </c>
      <c r="I288" s="161">
        <f>'Rekapitulacija Posebni dio'!G50</f>
        <v>61000</v>
      </c>
      <c r="J288" s="161">
        <f>'Rekapitulacija Posebni dio'!H50</f>
        <v>63500</v>
      </c>
    </row>
    <row r="289" spans="1:10" s="130" customFormat="1" x14ac:dyDescent="0.25">
      <c r="A289" s="188"/>
      <c r="B289" s="214" t="s">
        <v>533</v>
      </c>
      <c r="C289" s="213"/>
      <c r="D289" s="220" t="s">
        <v>413</v>
      </c>
      <c r="E289" s="161">
        <f>'Rekapitulacija Posebni dio'!C51</f>
        <v>0</v>
      </c>
      <c r="F289" s="161">
        <f>'Rekapitulacija Posebni dio'!D51</f>
        <v>0</v>
      </c>
      <c r="G289" s="161">
        <f>'Rekapitulacija Posebni dio'!E51</f>
        <v>500</v>
      </c>
      <c r="H289" s="161">
        <f>'Rekapitulacija Posebni dio'!F51</f>
        <v>500</v>
      </c>
      <c r="I289" s="161">
        <f>'Rekapitulacija Posebni dio'!G51</f>
        <v>700</v>
      </c>
      <c r="J289" s="161">
        <f>'Rekapitulacija Posebni dio'!H51</f>
        <v>900</v>
      </c>
    </row>
    <row r="290" spans="1:10" s="130" customFormat="1" x14ac:dyDescent="0.25">
      <c r="A290" s="188"/>
      <c r="B290" s="214" t="s">
        <v>589</v>
      </c>
      <c r="C290" s="213"/>
      <c r="D290" s="220" t="s">
        <v>590</v>
      </c>
      <c r="E290" s="161">
        <f>'Rekapitulacija Posebni dio'!C52</f>
        <v>0</v>
      </c>
      <c r="F290" s="161">
        <f>'Rekapitulacija Posebni dio'!D52</f>
        <v>0</v>
      </c>
      <c r="G290" s="161">
        <f>'Rekapitulacija Posebni dio'!E52</f>
        <v>25000</v>
      </c>
      <c r="H290" s="161">
        <f>'Rekapitulacija Posebni dio'!F52</f>
        <v>25000</v>
      </c>
      <c r="I290" s="161">
        <f>'Rekapitulacija Posebni dio'!G52</f>
        <v>27000</v>
      </c>
      <c r="J290" s="161">
        <f>'Rekapitulacija Posebni dio'!H52</f>
        <v>29000</v>
      </c>
    </row>
    <row r="291" spans="1:10" s="130" customFormat="1" x14ac:dyDescent="0.25">
      <c r="A291" s="188"/>
      <c r="B291" s="214" t="s">
        <v>534</v>
      </c>
      <c r="C291" s="213"/>
      <c r="D291" s="213" t="s">
        <v>414</v>
      </c>
      <c r="E291" s="161">
        <f>'Rekapitulacija Posebni dio'!C53</f>
        <v>0</v>
      </c>
      <c r="F291" s="161">
        <f>'Rekapitulacija Posebni dio'!D53</f>
        <v>0</v>
      </c>
      <c r="G291" s="161">
        <f>'Rekapitulacija Posebni dio'!E53</f>
        <v>1500</v>
      </c>
      <c r="H291" s="161">
        <f>'Rekapitulacija Posebni dio'!F53</f>
        <v>1500</v>
      </c>
      <c r="I291" s="161">
        <f>'Rekapitulacija Posebni dio'!G53</f>
        <v>1800</v>
      </c>
      <c r="J291" s="161">
        <f>'Rekapitulacija Posebni dio'!H53</f>
        <v>2200</v>
      </c>
    </row>
    <row r="292" spans="1:10" s="130" customFormat="1" x14ac:dyDescent="0.25">
      <c r="A292" s="188"/>
      <c r="B292" s="150" t="s">
        <v>113</v>
      </c>
      <c r="C292" s="188"/>
      <c r="D292" s="188" t="s">
        <v>114</v>
      </c>
      <c r="E292" s="153">
        <f t="shared" ref="E292" si="185">SUM(E293:E297)</f>
        <v>0</v>
      </c>
      <c r="F292" s="153">
        <f t="shared" ref="F292:J292" si="186">SUM(F293:F297)</f>
        <v>0</v>
      </c>
      <c r="G292" s="153">
        <f>SUM(G293:G297)</f>
        <v>2806455</v>
      </c>
      <c r="H292" s="153">
        <f>SUM(H293:H297)</f>
        <v>2806455</v>
      </c>
      <c r="I292" s="153">
        <f t="shared" si="186"/>
        <v>2832990.29</v>
      </c>
      <c r="J292" s="153">
        <f t="shared" si="186"/>
        <v>2856994.88</v>
      </c>
    </row>
    <row r="293" spans="1:10" s="130" customFormat="1" hidden="1" x14ac:dyDescent="0.25">
      <c r="A293" s="188"/>
      <c r="B293" s="214" t="s">
        <v>493</v>
      </c>
      <c r="C293" s="213"/>
      <c r="D293" s="213" t="s">
        <v>415</v>
      </c>
      <c r="E293" s="161">
        <f>'Rekapitulacija Posebni dio'!C55</f>
        <v>0</v>
      </c>
      <c r="F293" s="161">
        <f>'Rekapitulacija Posebni dio'!D55</f>
        <v>0</v>
      </c>
      <c r="G293" s="161"/>
      <c r="H293" s="161">
        <f>'Rekapitulacija Posebni dio'!F55</f>
        <v>0</v>
      </c>
      <c r="I293" s="161">
        <f>'Rekapitulacija Posebni dio'!G55</f>
        <v>0</v>
      </c>
      <c r="J293" s="161">
        <f>'Rekapitulacija Posebni dio'!H55</f>
        <v>0</v>
      </c>
    </row>
    <row r="294" spans="1:10" s="130" customFormat="1" x14ac:dyDescent="0.25">
      <c r="A294" s="188"/>
      <c r="B294" s="214" t="s">
        <v>591</v>
      </c>
      <c r="C294" s="213"/>
      <c r="D294" s="213" t="s">
        <v>593</v>
      </c>
      <c r="E294" s="161">
        <f>'Rekapitulacija Posebni dio'!C56</f>
        <v>0</v>
      </c>
      <c r="F294" s="161">
        <f>'Rekapitulacija Posebni dio'!D56</f>
        <v>0</v>
      </c>
      <c r="G294" s="161">
        <f>'Rekapitulacija Posebni dio'!E56</f>
        <v>12000</v>
      </c>
      <c r="H294" s="161">
        <f>'Rekapitulacija Posebni dio'!F56</f>
        <v>12000</v>
      </c>
      <c r="I294" s="161">
        <f>'Rekapitulacija Posebni dio'!G56</f>
        <v>13000</v>
      </c>
      <c r="J294" s="161">
        <f>'Rekapitulacija Posebni dio'!H56</f>
        <v>14000</v>
      </c>
    </row>
    <row r="295" spans="1:10" s="130" customFormat="1" x14ac:dyDescent="0.25">
      <c r="A295" s="188"/>
      <c r="B295" s="214" t="s">
        <v>592</v>
      </c>
      <c r="C295" s="213"/>
      <c r="D295" s="213" t="s">
        <v>594</v>
      </c>
      <c r="E295" s="161">
        <f>'Rekapitulacija Posebni dio'!C57</f>
        <v>0</v>
      </c>
      <c r="F295" s="161">
        <f>'Rekapitulacija Posebni dio'!D57</f>
        <v>0</v>
      </c>
      <c r="G295" s="161">
        <f>'Rekapitulacija Posebni dio'!E57</f>
        <v>2794455</v>
      </c>
      <c r="H295" s="161">
        <f>'Rekapitulacija Posebni dio'!F57</f>
        <v>2794455</v>
      </c>
      <c r="I295" s="161">
        <f>'Rekapitulacija Posebni dio'!G57</f>
        <v>2819990.29</v>
      </c>
      <c r="J295" s="161">
        <f>'Rekapitulacija Posebni dio'!H57</f>
        <v>2842994.88</v>
      </c>
    </row>
    <row r="296" spans="1:10" s="130" customFormat="1" hidden="1" x14ac:dyDescent="0.25">
      <c r="A296" s="188"/>
      <c r="B296" s="214" t="s">
        <v>494</v>
      </c>
      <c r="C296" s="213"/>
      <c r="D296" s="213" t="s">
        <v>416</v>
      </c>
      <c r="E296" s="161">
        <f>'Rekapitulacija Posebni dio'!C58</f>
        <v>0</v>
      </c>
      <c r="F296" s="161">
        <f>'Rekapitulacija Posebni dio'!D58</f>
        <v>0</v>
      </c>
      <c r="G296" s="161"/>
      <c r="H296" s="161">
        <f>'Rekapitulacija Posebni dio'!F58</f>
        <v>0</v>
      </c>
      <c r="I296" s="161">
        <f>'Rekapitulacija Posebni dio'!G58</f>
        <v>0</v>
      </c>
      <c r="J296" s="161">
        <f>'Rekapitulacija Posebni dio'!H58</f>
        <v>0</v>
      </c>
    </row>
    <row r="297" spans="1:10" s="130" customFormat="1" hidden="1" x14ac:dyDescent="0.25">
      <c r="A297" s="188"/>
      <c r="B297" s="214" t="s">
        <v>495</v>
      </c>
      <c r="C297" s="188"/>
      <c r="D297" s="213" t="s">
        <v>535</v>
      </c>
      <c r="E297" s="161">
        <f>'Rekapitulacija Posebni dio'!C59</f>
        <v>0</v>
      </c>
      <c r="F297" s="161">
        <f>'Rekapitulacija Posebni dio'!D59</f>
        <v>0</v>
      </c>
      <c r="G297" s="161"/>
      <c r="H297" s="161">
        <f>'Rekapitulacija Posebni dio'!F59</f>
        <v>0</v>
      </c>
      <c r="I297" s="161">
        <f>'Rekapitulacija Posebni dio'!G59</f>
        <v>0</v>
      </c>
      <c r="J297" s="161">
        <f>'Rekapitulacija Posebni dio'!H59</f>
        <v>0</v>
      </c>
    </row>
    <row r="298" spans="1:10" s="130" customFormat="1" x14ac:dyDescent="0.25">
      <c r="A298" s="188"/>
      <c r="B298" s="150" t="s">
        <v>115</v>
      </c>
      <c r="C298" s="188"/>
      <c r="D298" s="188" t="s">
        <v>116</v>
      </c>
      <c r="E298" s="153">
        <f t="shared" ref="E298" si="187">SUM(E299:E302)</f>
        <v>0</v>
      </c>
      <c r="F298" s="153">
        <f t="shared" ref="F298:J298" si="188">SUM(F299:F302)</f>
        <v>0</v>
      </c>
      <c r="G298" s="153">
        <f>SUM(G299:G302)</f>
        <v>321000</v>
      </c>
      <c r="H298" s="153">
        <f>SUM(H299:H302)</f>
        <v>321000</v>
      </c>
      <c r="I298" s="153">
        <f t="shared" si="188"/>
        <v>329300</v>
      </c>
      <c r="J298" s="153">
        <f t="shared" si="188"/>
        <v>337600</v>
      </c>
    </row>
    <row r="299" spans="1:10" s="130" customFormat="1" x14ac:dyDescent="0.25">
      <c r="A299" s="188"/>
      <c r="B299" s="214" t="s">
        <v>496</v>
      </c>
      <c r="C299" s="188"/>
      <c r="D299" s="213" t="s">
        <v>419</v>
      </c>
      <c r="E299" s="161">
        <f>'Rekapitulacija Posebni dio'!C61</f>
        <v>0</v>
      </c>
      <c r="F299" s="161">
        <f>'Rekapitulacija Posebni dio'!D61</f>
        <v>0</v>
      </c>
      <c r="G299" s="161">
        <f>'Rekapitulacija Posebni dio'!E61</f>
        <v>142000</v>
      </c>
      <c r="H299" s="161">
        <f>'Rekapitulacija Posebni dio'!F61</f>
        <v>142000</v>
      </c>
      <c r="I299" s="161">
        <f>'Rekapitulacija Posebni dio'!G61</f>
        <v>144000</v>
      </c>
      <c r="J299" s="161">
        <f>'Rekapitulacija Posebni dio'!H61</f>
        <v>146000</v>
      </c>
    </row>
    <row r="300" spans="1:10" s="130" customFormat="1" x14ac:dyDescent="0.25">
      <c r="A300" s="188"/>
      <c r="B300" s="214" t="s">
        <v>497</v>
      </c>
      <c r="C300" s="188"/>
      <c r="D300" s="213" t="s">
        <v>420</v>
      </c>
      <c r="E300" s="161">
        <f>'Rekapitulacija Posebni dio'!C62</f>
        <v>0</v>
      </c>
      <c r="F300" s="161">
        <f>'Rekapitulacija Posebni dio'!D62</f>
        <v>0</v>
      </c>
      <c r="G300" s="161">
        <f>'Rekapitulacija Posebni dio'!E62</f>
        <v>2200</v>
      </c>
      <c r="H300" s="161">
        <f>'Rekapitulacija Posebni dio'!F62</f>
        <v>2200</v>
      </c>
      <c r="I300" s="161">
        <f>'Rekapitulacija Posebni dio'!G62</f>
        <v>2500</v>
      </c>
      <c r="J300" s="161">
        <f>'Rekapitulacija Posebni dio'!H62</f>
        <v>2800</v>
      </c>
    </row>
    <row r="301" spans="1:10" s="130" customFormat="1" x14ac:dyDescent="0.25">
      <c r="A301" s="188"/>
      <c r="B301" s="214" t="s">
        <v>498</v>
      </c>
      <c r="C301" s="188"/>
      <c r="D301" s="213" t="s">
        <v>421</v>
      </c>
      <c r="E301" s="161">
        <f>'Rekapitulacija Posebni dio'!C63</f>
        <v>0</v>
      </c>
      <c r="F301" s="161">
        <f>'Rekapitulacija Posebni dio'!D63</f>
        <v>0</v>
      </c>
      <c r="G301" s="161">
        <f>'Rekapitulacija Posebni dio'!E63</f>
        <v>135000</v>
      </c>
      <c r="H301" s="161">
        <f>'Rekapitulacija Posebni dio'!F63</f>
        <v>135000</v>
      </c>
      <c r="I301" s="161">
        <f>'Rekapitulacija Posebni dio'!G63</f>
        <v>140000</v>
      </c>
      <c r="J301" s="161">
        <f>'Rekapitulacija Posebni dio'!H63</f>
        <v>145000</v>
      </c>
    </row>
    <row r="302" spans="1:10" s="130" customFormat="1" x14ac:dyDescent="0.25">
      <c r="A302" s="188"/>
      <c r="B302" s="214" t="s">
        <v>499</v>
      </c>
      <c r="C302" s="188"/>
      <c r="D302" s="213" t="s">
        <v>418</v>
      </c>
      <c r="E302" s="161">
        <f>'Rekapitulacija Posebni dio'!C64</f>
        <v>0</v>
      </c>
      <c r="F302" s="161">
        <f>'Rekapitulacija Posebni dio'!D64</f>
        <v>0</v>
      </c>
      <c r="G302" s="161">
        <f>'Rekapitulacija Posebni dio'!E64</f>
        <v>41800</v>
      </c>
      <c r="H302" s="161">
        <f>'Rekapitulacija Posebni dio'!F64</f>
        <v>41800</v>
      </c>
      <c r="I302" s="161">
        <f>'Rekapitulacija Posebni dio'!G64</f>
        <v>42800</v>
      </c>
      <c r="J302" s="161">
        <f>'Rekapitulacija Posebni dio'!H64</f>
        <v>43800</v>
      </c>
    </row>
    <row r="303" spans="1:10" s="130" customFormat="1" x14ac:dyDescent="0.25">
      <c r="A303" s="188"/>
      <c r="B303" s="150" t="s">
        <v>117</v>
      </c>
      <c r="C303" s="188"/>
      <c r="D303" s="221" t="s">
        <v>118</v>
      </c>
      <c r="E303" s="153">
        <f t="shared" ref="E303" si="189">SUM(E304:E307)</f>
        <v>0</v>
      </c>
      <c r="F303" s="153">
        <f t="shared" ref="F303:J303" si="190">SUM(F304:F307)</f>
        <v>0</v>
      </c>
      <c r="G303" s="153">
        <f>SUM(G304:G307)</f>
        <v>15050</v>
      </c>
      <c r="H303" s="153">
        <f>SUM(H304:H307)</f>
        <v>15050</v>
      </c>
      <c r="I303" s="153">
        <f t="shared" si="190"/>
        <v>16800</v>
      </c>
      <c r="J303" s="153">
        <f t="shared" si="190"/>
        <v>18550</v>
      </c>
    </row>
    <row r="304" spans="1:10" s="130" customFormat="1" x14ac:dyDescent="0.25">
      <c r="A304" s="188"/>
      <c r="B304" s="214" t="s">
        <v>536</v>
      </c>
      <c r="C304" s="188"/>
      <c r="D304" s="286" t="s">
        <v>422</v>
      </c>
      <c r="E304" s="161">
        <f>'Rekapitulacija Posebni dio'!C66</f>
        <v>0</v>
      </c>
      <c r="F304" s="161">
        <f>'Rekapitulacija Posebni dio'!D66</f>
        <v>0</v>
      </c>
      <c r="G304" s="161">
        <f>'Rekapitulacija Posebni dio'!E66</f>
        <v>2500</v>
      </c>
      <c r="H304" s="161">
        <f>'Rekapitulacija Posebni dio'!F66</f>
        <v>2500</v>
      </c>
      <c r="I304" s="161">
        <f>'Rekapitulacija Posebni dio'!G66</f>
        <v>3000</v>
      </c>
      <c r="J304" s="161">
        <f>'Rekapitulacija Posebni dio'!H66</f>
        <v>3500</v>
      </c>
    </row>
    <row r="305" spans="1:10" s="130" customFormat="1" x14ac:dyDescent="0.25">
      <c r="A305" s="188"/>
      <c r="B305" s="214" t="s">
        <v>537</v>
      </c>
      <c r="C305" s="188"/>
      <c r="D305" s="286" t="s">
        <v>424</v>
      </c>
      <c r="E305" s="161">
        <f>'Rekapitulacija Posebni dio'!C67</f>
        <v>0</v>
      </c>
      <c r="F305" s="161">
        <f>'Rekapitulacija Posebni dio'!D67</f>
        <v>0</v>
      </c>
      <c r="G305" s="161">
        <f>'Rekapitulacija Posebni dio'!E67</f>
        <v>2750</v>
      </c>
      <c r="H305" s="161">
        <f>'Rekapitulacija Posebni dio'!F67</f>
        <v>2750</v>
      </c>
      <c r="I305" s="161">
        <f>'Rekapitulacija Posebni dio'!G67</f>
        <v>3000</v>
      </c>
      <c r="J305" s="161">
        <f>'Rekapitulacija Posebni dio'!H67</f>
        <v>3250</v>
      </c>
    </row>
    <row r="306" spans="1:10" s="130" customFormat="1" x14ac:dyDescent="0.25">
      <c r="A306" s="188"/>
      <c r="B306" s="214" t="s">
        <v>538</v>
      </c>
      <c r="C306" s="188"/>
      <c r="D306" s="286" t="s">
        <v>423</v>
      </c>
      <c r="E306" s="161">
        <f>'Rekapitulacija Posebni dio'!C68</f>
        <v>0</v>
      </c>
      <c r="F306" s="161">
        <f>'Rekapitulacija Posebni dio'!D68</f>
        <v>0</v>
      </c>
      <c r="G306" s="161">
        <f>'Rekapitulacija Posebni dio'!E68</f>
        <v>6500</v>
      </c>
      <c r="H306" s="161">
        <f>'Rekapitulacija Posebni dio'!F68</f>
        <v>6500</v>
      </c>
      <c r="I306" s="161">
        <f>'Rekapitulacija Posebni dio'!G68</f>
        <v>7000</v>
      </c>
      <c r="J306" s="161">
        <f>'Rekapitulacija Posebni dio'!H68</f>
        <v>7500</v>
      </c>
    </row>
    <row r="307" spans="1:10" s="130" customFormat="1" x14ac:dyDescent="0.25">
      <c r="A307" s="188"/>
      <c r="B307" s="214" t="s">
        <v>539</v>
      </c>
      <c r="C307" s="188"/>
      <c r="D307" s="287" t="s">
        <v>425</v>
      </c>
      <c r="E307" s="161">
        <f>'Rekapitulacija Posebni dio'!C69</f>
        <v>0</v>
      </c>
      <c r="F307" s="161">
        <f>'Rekapitulacija Posebni dio'!D69</f>
        <v>0</v>
      </c>
      <c r="G307" s="161">
        <f>'Rekapitulacija Posebni dio'!E69</f>
        <v>3300</v>
      </c>
      <c r="H307" s="161">
        <f>'Rekapitulacija Posebni dio'!F69</f>
        <v>3300</v>
      </c>
      <c r="I307" s="161">
        <f>'Rekapitulacija Posebni dio'!G69</f>
        <v>3800</v>
      </c>
      <c r="J307" s="161">
        <f>'Rekapitulacija Posebni dio'!H69</f>
        <v>4300</v>
      </c>
    </row>
    <row r="308" spans="1:10" s="130" customFormat="1" x14ac:dyDescent="0.25">
      <c r="A308" s="188"/>
      <c r="B308" s="150" t="s">
        <v>119</v>
      </c>
      <c r="C308" s="188"/>
      <c r="D308" s="221" t="s">
        <v>120</v>
      </c>
      <c r="E308" s="153">
        <f>SUM(E309:E310)</f>
        <v>0</v>
      </c>
      <c r="F308" s="153">
        <f t="shared" ref="F308:J308" si="191">SUM(F309:F310)</f>
        <v>0</v>
      </c>
      <c r="G308" s="153">
        <f>SUM(G309:G310)</f>
        <v>9500</v>
      </c>
      <c r="H308" s="153">
        <f>SUM(H309:H310)</f>
        <v>9500</v>
      </c>
      <c r="I308" s="153">
        <f t="shared" si="191"/>
        <v>12000</v>
      </c>
      <c r="J308" s="153">
        <f t="shared" si="191"/>
        <v>14500</v>
      </c>
    </row>
    <row r="309" spans="1:10" s="130" customFormat="1" x14ac:dyDescent="0.25">
      <c r="A309" s="188"/>
      <c r="B309" s="214" t="s">
        <v>500</v>
      </c>
      <c r="C309" s="188"/>
      <c r="D309" s="220" t="s">
        <v>596</v>
      </c>
      <c r="E309" s="161">
        <f>'Rekapitulacija Posebni dio'!C71</f>
        <v>0</v>
      </c>
      <c r="F309" s="161">
        <f>'Rekapitulacija Posebni dio'!D71</f>
        <v>0</v>
      </c>
      <c r="G309" s="161">
        <f>'Rekapitulacija Posebni dio'!E71</f>
        <v>8000</v>
      </c>
      <c r="H309" s="161">
        <f>'Rekapitulacija Posebni dio'!F71</f>
        <v>8000</v>
      </c>
      <c r="I309" s="161">
        <f>'Rekapitulacija Posebni dio'!G71</f>
        <v>10000</v>
      </c>
      <c r="J309" s="161">
        <f>'Rekapitulacija Posebni dio'!H71</f>
        <v>12000</v>
      </c>
    </row>
    <row r="310" spans="1:10" s="130" customFormat="1" x14ac:dyDescent="0.25">
      <c r="A310" s="188"/>
      <c r="B310" s="214" t="s">
        <v>595</v>
      </c>
      <c r="C310" s="188"/>
      <c r="D310" s="220" t="s">
        <v>597</v>
      </c>
      <c r="E310" s="161">
        <f>'Rekapitulacija Posebni dio'!C72</f>
        <v>0</v>
      </c>
      <c r="F310" s="161">
        <f>'Rekapitulacija Posebni dio'!D72</f>
        <v>0</v>
      </c>
      <c r="G310" s="161">
        <f>'Rekapitulacija Posebni dio'!E72</f>
        <v>1500</v>
      </c>
      <c r="H310" s="161">
        <f>'Rekapitulacija Posebni dio'!F72</f>
        <v>1500</v>
      </c>
      <c r="I310" s="161">
        <f>'Rekapitulacija Posebni dio'!G72</f>
        <v>2000</v>
      </c>
      <c r="J310" s="161">
        <f>'Rekapitulacija Posebni dio'!H72</f>
        <v>2500</v>
      </c>
    </row>
    <row r="311" spans="1:10" s="130" customFormat="1" x14ac:dyDescent="0.25">
      <c r="A311" s="188"/>
      <c r="B311" s="150" t="s">
        <v>121</v>
      </c>
      <c r="C311" s="188"/>
      <c r="D311" s="221" t="s">
        <v>122</v>
      </c>
      <c r="E311" s="153">
        <f t="shared" ref="E311:J311" si="192">SUM(E312)</f>
        <v>0</v>
      </c>
      <c r="F311" s="153">
        <f t="shared" si="192"/>
        <v>0</v>
      </c>
      <c r="G311" s="153">
        <f t="shared" si="192"/>
        <v>5500</v>
      </c>
      <c r="H311" s="153">
        <f t="shared" si="192"/>
        <v>5500</v>
      </c>
      <c r="I311" s="153">
        <f t="shared" si="192"/>
        <v>6500</v>
      </c>
      <c r="J311" s="153">
        <f t="shared" si="192"/>
        <v>7500</v>
      </c>
    </row>
    <row r="312" spans="1:10" s="130" customFormat="1" x14ac:dyDescent="0.25">
      <c r="A312" s="188"/>
      <c r="B312" s="214" t="s">
        <v>501</v>
      </c>
      <c r="C312" s="188"/>
      <c r="D312" s="220" t="s">
        <v>122</v>
      </c>
      <c r="E312" s="161">
        <f>'Rekapitulacija Posebni dio'!C74</f>
        <v>0</v>
      </c>
      <c r="F312" s="161">
        <f>'Rekapitulacija Posebni dio'!D74</f>
        <v>0</v>
      </c>
      <c r="G312" s="161">
        <f>'Rekapitulacija Posebni dio'!E74</f>
        <v>5500</v>
      </c>
      <c r="H312" s="161">
        <f>'Rekapitulacija Posebni dio'!F74</f>
        <v>5500</v>
      </c>
      <c r="I312" s="161">
        <f>'Rekapitulacija Posebni dio'!G74</f>
        <v>6500</v>
      </c>
      <c r="J312" s="161">
        <f>'Rekapitulacija Posebni dio'!H74</f>
        <v>7500</v>
      </c>
    </row>
    <row r="313" spans="1:10" s="130" customFormat="1" x14ac:dyDescent="0.25">
      <c r="A313" s="188"/>
      <c r="B313" s="150" t="s">
        <v>123</v>
      </c>
      <c r="C313" s="188"/>
      <c r="D313" s="221" t="s">
        <v>124</v>
      </c>
      <c r="E313" s="153">
        <f t="shared" ref="E313" si="193">E314+E318+E323+E325+E334+E338+E343+E348+E350</f>
        <v>0</v>
      </c>
      <c r="F313" s="153">
        <f t="shared" ref="F313:J313" si="194">F314+F318+F323+F325+F334+F338+F343+F348+F350</f>
        <v>0</v>
      </c>
      <c r="G313" s="153">
        <f t="shared" ref="G313" si="195">G314+G318+G323+G325+G334+G338+G343+G348+G350</f>
        <v>1067396.33</v>
      </c>
      <c r="H313" s="153">
        <f t="shared" si="194"/>
        <v>1067396.33</v>
      </c>
      <c r="I313" s="153">
        <f t="shared" si="194"/>
        <v>1105996.33</v>
      </c>
      <c r="J313" s="153">
        <f t="shared" si="194"/>
        <v>1144696.33</v>
      </c>
    </row>
    <row r="314" spans="1:10" s="130" customFormat="1" x14ac:dyDescent="0.25">
      <c r="A314" s="188"/>
      <c r="B314" s="150" t="s">
        <v>125</v>
      </c>
      <c r="C314" s="188"/>
      <c r="D314" s="288" t="s">
        <v>126</v>
      </c>
      <c r="E314" s="153">
        <f>SUM(E315:E317)</f>
        <v>0</v>
      </c>
      <c r="F314" s="153">
        <f t="shared" ref="F314:J314" si="196">SUM(F315:F317)</f>
        <v>0</v>
      </c>
      <c r="G314" s="153">
        <f>SUM(G315:G317)</f>
        <v>46350</v>
      </c>
      <c r="H314" s="153">
        <f>SUM(H315:H317)</f>
        <v>46350</v>
      </c>
      <c r="I314" s="153">
        <f t="shared" si="196"/>
        <v>48800</v>
      </c>
      <c r="J314" s="153">
        <f t="shared" si="196"/>
        <v>51350</v>
      </c>
    </row>
    <row r="315" spans="1:10" s="130" customFormat="1" x14ac:dyDescent="0.25">
      <c r="A315" s="188"/>
      <c r="B315" s="214" t="s">
        <v>502</v>
      </c>
      <c r="C315" s="188"/>
      <c r="D315" s="287" t="s">
        <v>426</v>
      </c>
      <c r="E315" s="161">
        <f>'Rekapitulacija Posebni dio'!C77</f>
        <v>0</v>
      </c>
      <c r="F315" s="161">
        <f>'Rekapitulacija Posebni dio'!D77</f>
        <v>0</v>
      </c>
      <c r="G315" s="161">
        <f>'Rekapitulacija Posebni dio'!E77</f>
        <v>43000</v>
      </c>
      <c r="H315" s="161">
        <f>'Rekapitulacija Posebni dio'!F77</f>
        <v>43000</v>
      </c>
      <c r="I315" s="161">
        <f>'Rekapitulacija Posebni dio'!G77</f>
        <v>45000</v>
      </c>
      <c r="J315" s="161">
        <f>'Rekapitulacija Posebni dio'!H77</f>
        <v>47000</v>
      </c>
    </row>
    <row r="316" spans="1:10" s="130" customFormat="1" x14ac:dyDescent="0.25">
      <c r="A316" s="188"/>
      <c r="B316" s="214" t="s">
        <v>503</v>
      </c>
      <c r="C316" s="188"/>
      <c r="D316" s="287" t="s">
        <v>427</v>
      </c>
      <c r="E316" s="161">
        <f>'Rekapitulacija Posebni dio'!C78</f>
        <v>0</v>
      </c>
      <c r="F316" s="161">
        <f>'Rekapitulacija Posebni dio'!D78</f>
        <v>0</v>
      </c>
      <c r="G316" s="161">
        <f>'Rekapitulacija Posebni dio'!E78</f>
        <v>1500</v>
      </c>
      <c r="H316" s="161">
        <f>'Rekapitulacija Posebni dio'!F78</f>
        <v>1500</v>
      </c>
      <c r="I316" s="161">
        <f>'Rekapitulacija Posebni dio'!G78</f>
        <v>1800</v>
      </c>
      <c r="J316" s="161">
        <f>'Rekapitulacija Posebni dio'!H78</f>
        <v>2100</v>
      </c>
    </row>
    <row r="317" spans="1:10" s="130" customFormat="1" x14ac:dyDescent="0.25">
      <c r="A317" s="188"/>
      <c r="B317" s="214" t="s">
        <v>561</v>
      </c>
      <c r="C317" s="188"/>
      <c r="D317" s="287" t="s">
        <v>562</v>
      </c>
      <c r="E317" s="161">
        <f>'Rekapitulacija Posebni dio'!C79</f>
        <v>0</v>
      </c>
      <c r="F317" s="161">
        <f>'Rekapitulacija Posebni dio'!D79</f>
        <v>0</v>
      </c>
      <c r="G317" s="161">
        <f>'Rekapitulacija Posebni dio'!E79</f>
        <v>1850</v>
      </c>
      <c r="H317" s="161">
        <f>'Rekapitulacija Posebni dio'!F79</f>
        <v>1850</v>
      </c>
      <c r="I317" s="161">
        <f>'Rekapitulacija Posebni dio'!G79</f>
        <v>2000</v>
      </c>
      <c r="J317" s="161">
        <f>'Rekapitulacija Posebni dio'!H79</f>
        <v>2250</v>
      </c>
    </row>
    <row r="318" spans="1:10" s="130" customFormat="1" x14ac:dyDescent="0.25">
      <c r="A318" s="188"/>
      <c r="B318" s="150" t="s">
        <v>127</v>
      </c>
      <c r="C318" s="188"/>
      <c r="D318" s="221" t="s">
        <v>128</v>
      </c>
      <c r="E318" s="153">
        <f>SUM(E319:E322)</f>
        <v>0</v>
      </c>
      <c r="F318" s="153">
        <f t="shared" ref="F318:J318" si="197">SUM(F319:F322)</f>
        <v>0</v>
      </c>
      <c r="G318" s="153">
        <f>SUM(G319:G322)</f>
        <v>29500</v>
      </c>
      <c r="H318" s="153">
        <f>SUM(H319:H322)</f>
        <v>29500</v>
      </c>
      <c r="I318" s="153">
        <f t="shared" si="197"/>
        <v>35500</v>
      </c>
      <c r="J318" s="153">
        <f t="shared" si="197"/>
        <v>41500</v>
      </c>
    </row>
    <row r="319" spans="1:10" s="130" customFormat="1" x14ac:dyDescent="0.25">
      <c r="A319" s="188"/>
      <c r="B319" s="214" t="s">
        <v>524</v>
      </c>
      <c r="C319" s="188"/>
      <c r="D319" s="287" t="s">
        <v>429</v>
      </c>
      <c r="E319" s="161">
        <f>'Rekapitulacija Posebni dio'!C81</f>
        <v>0</v>
      </c>
      <c r="F319" s="161">
        <f>'Rekapitulacija Posebni dio'!D81</f>
        <v>0</v>
      </c>
      <c r="G319" s="161">
        <f>'Rekapitulacija Posebni dio'!E81</f>
        <v>10000</v>
      </c>
      <c r="H319" s="161">
        <f>'Rekapitulacija Posebni dio'!F81</f>
        <v>10000</v>
      </c>
      <c r="I319" s="161">
        <f>'Rekapitulacija Posebni dio'!G81</f>
        <v>12000</v>
      </c>
      <c r="J319" s="161">
        <f>'Rekapitulacija Posebni dio'!H81</f>
        <v>14000</v>
      </c>
    </row>
    <row r="320" spans="1:10" s="130" customFormat="1" x14ac:dyDescent="0.25">
      <c r="A320" s="188"/>
      <c r="B320" s="214" t="s">
        <v>525</v>
      </c>
      <c r="C320" s="188"/>
      <c r="D320" s="287" t="s">
        <v>430</v>
      </c>
      <c r="E320" s="161">
        <f>'Rekapitulacija Posebni dio'!C82</f>
        <v>0</v>
      </c>
      <c r="F320" s="161">
        <f>'Rekapitulacija Posebni dio'!D82</f>
        <v>0</v>
      </c>
      <c r="G320" s="161">
        <f>'Rekapitulacija Posebni dio'!E82</f>
        <v>8000</v>
      </c>
      <c r="H320" s="161">
        <f>'Rekapitulacija Posebni dio'!F82</f>
        <v>8000</v>
      </c>
      <c r="I320" s="161">
        <f>'Rekapitulacija Posebni dio'!G82</f>
        <v>10000</v>
      </c>
      <c r="J320" s="161">
        <f>'Rekapitulacija Posebni dio'!H82</f>
        <v>12000</v>
      </c>
    </row>
    <row r="321" spans="1:10" s="130" customFormat="1" x14ac:dyDescent="0.25">
      <c r="A321" s="188"/>
      <c r="B321" s="214" t="s">
        <v>526</v>
      </c>
      <c r="C321" s="188"/>
      <c r="D321" s="287" t="s">
        <v>428</v>
      </c>
      <c r="E321" s="161">
        <f>'Rekapitulacija Posebni dio'!C83</f>
        <v>0</v>
      </c>
      <c r="F321" s="161">
        <f>'Rekapitulacija Posebni dio'!D83</f>
        <v>0</v>
      </c>
      <c r="G321" s="161">
        <f>'Rekapitulacija Posebni dio'!E83</f>
        <v>6500</v>
      </c>
      <c r="H321" s="161">
        <f>'Rekapitulacija Posebni dio'!F83</f>
        <v>6500</v>
      </c>
      <c r="I321" s="161">
        <f>'Rekapitulacija Posebni dio'!G83</f>
        <v>7500</v>
      </c>
      <c r="J321" s="161">
        <f>'Rekapitulacija Posebni dio'!H83</f>
        <v>8500</v>
      </c>
    </row>
    <row r="322" spans="1:10" s="130" customFormat="1" x14ac:dyDescent="0.25">
      <c r="A322" s="188"/>
      <c r="B322" s="214" t="s">
        <v>598</v>
      </c>
      <c r="C322" s="188"/>
      <c r="D322" s="287" t="s">
        <v>599</v>
      </c>
      <c r="E322" s="161">
        <f>'Rekapitulacija Posebni dio'!C84</f>
        <v>0</v>
      </c>
      <c r="F322" s="161">
        <f>'Rekapitulacija Posebni dio'!D84</f>
        <v>0</v>
      </c>
      <c r="G322" s="161">
        <f>'Rekapitulacija Posebni dio'!E84</f>
        <v>5000</v>
      </c>
      <c r="H322" s="161">
        <f>'Rekapitulacija Posebni dio'!F84</f>
        <v>5000</v>
      </c>
      <c r="I322" s="161">
        <f>'Rekapitulacija Posebni dio'!G84</f>
        <v>6000</v>
      </c>
      <c r="J322" s="161">
        <f>'Rekapitulacija Posebni dio'!H84</f>
        <v>7000</v>
      </c>
    </row>
    <row r="323" spans="1:10" s="130" customFormat="1" x14ac:dyDescent="0.25">
      <c r="A323" s="188"/>
      <c r="B323" s="150" t="s">
        <v>129</v>
      </c>
      <c r="C323" s="188"/>
      <c r="D323" s="221" t="s">
        <v>130</v>
      </c>
      <c r="E323" s="153">
        <f t="shared" ref="E323:J323" si="198">SUM(E324)</f>
        <v>0</v>
      </c>
      <c r="F323" s="153">
        <f t="shared" si="198"/>
        <v>0</v>
      </c>
      <c r="G323" s="153">
        <f t="shared" si="198"/>
        <v>2663.61</v>
      </c>
      <c r="H323" s="153">
        <f t="shared" si="198"/>
        <v>2663.61</v>
      </c>
      <c r="I323" s="153">
        <f t="shared" si="198"/>
        <v>2663.61</v>
      </c>
      <c r="J323" s="153">
        <f t="shared" si="198"/>
        <v>2663.61</v>
      </c>
    </row>
    <row r="324" spans="1:10" s="130" customFormat="1" x14ac:dyDescent="0.25">
      <c r="A324" s="188"/>
      <c r="B324" s="214" t="s">
        <v>504</v>
      </c>
      <c r="C324" s="188"/>
      <c r="D324" s="220" t="s">
        <v>130</v>
      </c>
      <c r="E324" s="161">
        <f>'Rekapitulacija Posebni dio'!C86</f>
        <v>0</v>
      </c>
      <c r="F324" s="161">
        <f>'Rekapitulacija Posebni dio'!D86</f>
        <v>0</v>
      </c>
      <c r="G324" s="161">
        <f>'Rekapitulacija Posebni dio'!E86</f>
        <v>2663.61</v>
      </c>
      <c r="H324" s="161">
        <f>'Rekapitulacija Posebni dio'!F86</f>
        <v>2663.61</v>
      </c>
      <c r="I324" s="161">
        <f>'Rekapitulacija Posebni dio'!G86</f>
        <v>2663.61</v>
      </c>
      <c r="J324" s="161">
        <f>'Rekapitulacija Posebni dio'!H86</f>
        <v>2663.61</v>
      </c>
    </row>
    <row r="325" spans="1:10" s="130" customFormat="1" x14ac:dyDescent="0.25">
      <c r="A325" s="188"/>
      <c r="B325" s="171" t="s">
        <v>131</v>
      </c>
      <c r="C325" s="149"/>
      <c r="D325" s="223" t="s">
        <v>132</v>
      </c>
      <c r="E325" s="153">
        <f t="shared" ref="E325" si="199">SUM(E326:E333)</f>
        <v>0</v>
      </c>
      <c r="F325" s="153">
        <f t="shared" ref="F325:J325" si="200">SUM(F326:F333)</f>
        <v>0</v>
      </c>
      <c r="G325" s="153">
        <f>SUM(G326:G333)</f>
        <v>166650</v>
      </c>
      <c r="H325" s="153">
        <f>SUM(H326:H333)</f>
        <v>166650</v>
      </c>
      <c r="I325" s="153">
        <f t="shared" si="200"/>
        <v>175100</v>
      </c>
      <c r="J325" s="153">
        <f t="shared" si="200"/>
        <v>183550</v>
      </c>
    </row>
    <row r="326" spans="1:10" s="130" customFormat="1" x14ac:dyDescent="0.25">
      <c r="A326" s="188"/>
      <c r="B326" s="214" t="s">
        <v>540</v>
      </c>
      <c r="C326" s="188"/>
      <c r="D326" s="287" t="s">
        <v>432</v>
      </c>
      <c r="E326" s="161">
        <f>'Rekapitulacija Posebni dio'!C88</f>
        <v>0</v>
      </c>
      <c r="F326" s="161">
        <f>'Rekapitulacija Posebni dio'!D88</f>
        <v>0</v>
      </c>
      <c r="G326" s="161">
        <f>'Rekapitulacija Posebni dio'!E88</f>
        <v>44000</v>
      </c>
      <c r="H326" s="161">
        <f>'Rekapitulacija Posebni dio'!F88</f>
        <v>44000</v>
      </c>
      <c r="I326" s="161">
        <f>'Rekapitulacija Posebni dio'!G88</f>
        <v>47000</v>
      </c>
      <c r="J326" s="161">
        <f>'Rekapitulacija Posebni dio'!H88</f>
        <v>50000</v>
      </c>
    </row>
    <row r="327" spans="1:10" s="130" customFormat="1" x14ac:dyDescent="0.25">
      <c r="A327" s="188"/>
      <c r="B327" s="214" t="s">
        <v>541</v>
      </c>
      <c r="C327" s="188"/>
      <c r="D327" s="287" t="s">
        <v>433</v>
      </c>
      <c r="E327" s="161">
        <f>'Rekapitulacija Posebni dio'!C89</f>
        <v>0</v>
      </c>
      <c r="F327" s="161">
        <f>'Rekapitulacija Posebni dio'!D89</f>
        <v>0</v>
      </c>
      <c r="G327" s="161">
        <f>'Rekapitulacija Posebni dio'!E89</f>
        <v>68000</v>
      </c>
      <c r="H327" s="161">
        <f>'Rekapitulacija Posebni dio'!F89</f>
        <v>68000</v>
      </c>
      <c r="I327" s="161">
        <f>'Rekapitulacija Posebni dio'!G89</f>
        <v>70000</v>
      </c>
      <c r="J327" s="161">
        <f>'Rekapitulacija Posebni dio'!H89</f>
        <v>72000</v>
      </c>
    </row>
    <row r="328" spans="1:10" s="130" customFormat="1" x14ac:dyDescent="0.25">
      <c r="A328" s="188"/>
      <c r="B328" s="214" t="s">
        <v>542</v>
      </c>
      <c r="C328" s="188"/>
      <c r="D328" s="287" t="s">
        <v>434</v>
      </c>
      <c r="E328" s="161">
        <f>'Rekapitulacija Posebni dio'!C90</f>
        <v>0</v>
      </c>
      <c r="F328" s="161">
        <f>'Rekapitulacija Posebni dio'!D90</f>
        <v>0</v>
      </c>
      <c r="G328" s="161">
        <f>'Rekapitulacija Posebni dio'!E90</f>
        <v>2800</v>
      </c>
      <c r="H328" s="161">
        <f>'Rekapitulacija Posebni dio'!F90</f>
        <v>2800</v>
      </c>
      <c r="I328" s="161">
        <f>'Rekapitulacija Posebni dio'!G90</f>
        <v>3300</v>
      </c>
      <c r="J328" s="161">
        <f>'Rekapitulacija Posebni dio'!H90</f>
        <v>3800</v>
      </c>
    </row>
    <row r="329" spans="1:10" s="130" customFormat="1" x14ac:dyDescent="0.25">
      <c r="A329" s="188"/>
      <c r="B329" s="214" t="s">
        <v>607</v>
      </c>
      <c r="C329" s="188"/>
      <c r="D329" s="287" t="s">
        <v>600</v>
      </c>
      <c r="E329" s="161">
        <f>'Rekapitulacija Posebni dio'!C91</f>
        <v>0</v>
      </c>
      <c r="F329" s="161">
        <f>'Rekapitulacija Posebni dio'!D91</f>
        <v>0</v>
      </c>
      <c r="G329" s="161">
        <f>'Rekapitulacija Posebni dio'!E91</f>
        <v>2000</v>
      </c>
      <c r="H329" s="161">
        <f>'Rekapitulacija Posebni dio'!F91</f>
        <v>2000</v>
      </c>
      <c r="I329" s="161">
        <f>'Rekapitulacija Posebni dio'!G91</f>
        <v>2500</v>
      </c>
      <c r="J329" s="161">
        <f>'Rekapitulacija Posebni dio'!H91</f>
        <v>3000</v>
      </c>
    </row>
    <row r="330" spans="1:10" s="130" customFormat="1" x14ac:dyDescent="0.25">
      <c r="A330" s="188"/>
      <c r="B330" s="214" t="s">
        <v>601</v>
      </c>
      <c r="C330" s="188"/>
      <c r="D330" s="287" t="s">
        <v>604</v>
      </c>
      <c r="E330" s="161">
        <f>'Rekapitulacija Posebni dio'!C92</f>
        <v>0</v>
      </c>
      <c r="F330" s="161">
        <f>'Rekapitulacija Posebni dio'!D92</f>
        <v>0</v>
      </c>
      <c r="G330" s="161">
        <f>'Rekapitulacija Posebni dio'!E92</f>
        <v>9000</v>
      </c>
      <c r="H330" s="161">
        <f>'Rekapitulacija Posebni dio'!F92</f>
        <v>9000</v>
      </c>
      <c r="I330" s="161">
        <f>'Rekapitulacija Posebni dio'!G92</f>
        <v>9400</v>
      </c>
      <c r="J330" s="161">
        <f>'Rekapitulacija Posebni dio'!H92</f>
        <v>9800</v>
      </c>
    </row>
    <row r="331" spans="1:10" s="130" customFormat="1" x14ac:dyDescent="0.25">
      <c r="A331" s="188"/>
      <c r="B331" s="214" t="s">
        <v>602</v>
      </c>
      <c r="C331" s="188"/>
      <c r="D331" s="287" t="s">
        <v>605</v>
      </c>
      <c r="E331" s="161">
        <f>'Rekapitulacija Posebni dio'!C93</f>
        <v>0</v>
      </c>
      <c r="F331" s="161">
        <f>'Rekapitulacija Posebni dio'!D93</f>
        <v>0</v>
      </c>
      <c r="G331" s="161">
        <f>'Rekapitulacija Posebni dio'!E93</f>
        <v>6000</v>
      </c>
      <c r="H331" s="161">
        <f>'Rekapitulacija Posebni dio'!F93</f>
        <v>6000</v>
      </c>
      <c r="I331" s="161">
        <f>'Rekapitulacija Posebni dio'!G93</f>
        <v>6500</v>
      </c>
      <c r="J331" s="161">
        <f>'Rekapitulacija Posebni dio'!H93</f>
        <v>7000</v>
      </c>
    </row>
    <row r="332" spans="1:10" s="130" customFormat="1" x14ac:dyDescent="0.25">
      <c r="A332" s="188"/>
      <c r="B332" s="214" t="s">
        <v>603</v>
      </c>
      <c r="C332" s="188"/>
      <c r="D332" s="287" t="s">
        <v>606</v>
      </c>
      <c r="E332" s="161">
        <f>'Rekapitulacija Posebni dio'!C94</f>
        <v>0</v>
      </c>
      <c r="F332" s="161">
        <f>'Rekapitulacija Posebni dio'!D94</f>
        <v>0</v>
      </c>
      <c r="G332" s="161">
        <f>'Rekapitulacija Posebni dio'!E94</f>
        <v>150</v>
      </c>
      <c r="H332" s="161">
        <f>'Rekapitulacija Posebni dio'!F94</f>
        <v>150</v>
      </c>
      <c r="I332" s="161">
        <f>'Rekapitulacija Posebni dio'!G94</f>
        <v>200</v>
      </c>
      <c r="J332" s="161">
        <f>'Rekapitulacija Posebni dio'!H94</f>
        <v>250</v>
      </c>
    </row>
    <row r="333" spans="1:10" s="130" customFormat="1" x14ac:dyDescent="0.25">
      <c r="A333" s="188"/>
      <c r="B333" s="174">
        <v>32349</v>
      </c>
      <c r="C333" s="131"/>
      <c r="D333" s="289" t="s">
        <v>435</v>
      </c>
      <c r="E333" s="161">
        <f>'Rekapitulacija Posebni dio'!C95</f>
        <v>0</v>
      </c>
      <c r="F333" s="161">
        <f>'Rekapitulacija Posebni dio'!D95</f>
        <v>0</v>
      </c>
      <c r="G333" s="161">
        <f>'Rekapitulacija Posebni dio'!E95</f>
        <v>34700</v>
      </c>
      <c r="H333" s="161">
        <f>'Rekapitulacija Posebni dio'!F95</f>
        <v>34700</v>
      </c>
      <c r="I333" s="161">
        <f>'Rekapitulacija Posebni dio'!G95</f>
        <v>36200</v>
      </c>
      <c r="J333" s="161">
        <f>'Rekapitulacija Posebni dio'!H95</f>
        <v>37700</v>
      </c>
    </row>
    <row r="334" spans="1:10" s="130" customFormat="1" x14ac:dyDescent="0.25">
      <c r="A334" s="188"/>
      <c r="B334" s="171">
        <v>3235</v>
      </c>
      <c r="C334" s="149"/>
      <c r="D334" s="223" t="s">
        <v>133</v>
      </c>
      <c r="E334" s="153">
        <f>SUM(E335:E337)</f>
        <v>0</v>
      </c>
      <c r="F334" s="153">
        <f t="shared" ref="F334:J334" si="201">SUM(F335:F337)</f>
        <v>0</v>
      </c>
      <c r="G334" s="153">
        <f t="shared" ref="G334" si="202">SUM(G335:G337)</f>
        <v>7832.72</v>
      </c>
      <c r="H334" s="153">
        <f t="shared" si="201"/>
        <v>7832.72</v>
      </c>
      <c r="I334" s="153">
        <f t="shared" si="201"/>
        <v>8232.7199999999993</v>
      </c>
      <c r="J334" s="153">
        <f t="shared" si="201"/>
        <v>8632.7199999999993</v>
      </c>
    </row>
    <row r="335" spans="1:10" s="117" customFormat="1" x14ac:dyDescent="0.25">
      <c r="A335" s="213"/>
      <c r="B335" s="174">
        <v>32353</v>
      </c>
      <c r="C335" s="131"/>
      <c r="D335" s="222" t="s">
        <v>608</v>
      </c>
      <c r="E335" s="161">
        <f>'Rekapitulacija Posebni dio'!C97</f>
        <v>0</v>
      </c>
      <c r="F335" s="161">
        <f>'Rekapitulacija Posebni dio'!D97</f>
        <v>0</v>
      </c>
      <c r="G335" s="161">
        <f>'Rekapitulacija Posebni dio'!E97</f>
        <v>1800</v>
      </c>
      <c r="H335" s="161">
        <f>'Rekapitulacija Posebni dio'!F97</f>
        <v>1800</v>
      </c>
      <c r="I335" s="161">
        <f>'Rekapitulacija Posebni dio'!G97</f>
        <v>2000</v>
      </c>
      <c r="J335" s="161">
        <f>'Rekapitulacija Posebni dio'!H97</f>
        <v>2200</v>
      </c>
    </row>
    <row r="336" spans="1:10" s="117" customFormat="1" x14ac:dyDescent="0.25">
      <c r="A336" s="213"/>
      <c r="B336" s="174">
        <v>32354</v>
      </c>
      <c r="C336" s="131"/>
      <c r="D336" s="222" t="s">
        <v>609</v>
      </c>
      <c r="E336" s="161">
        <f>'Rekapitulacija Posebni dio'!C98</f>
        <v>0</v>
      </c>
      <c r="F336" s="161">
        <f>'Rekapitulacija Posebni dio'!D98</f>
        <v>0</v>
      </c>
      <c r="G336" s="161">
        <f>'Rekapitulacija Posebni dio'!E98</f>
        <v>5700</v>
      </c>
      <c r="H336" s="161">
        <f>'Rekapitulacija Posebni dio'!F98</f>
        <v>5700</v>
      </c>
      <c r="I336" s="161">
        <f>'Rekapitulacija Posebni dio'!G98</f>
        <v>5900</v>
      </c>
      <c r="J336" s="161">
        <f>'Rekapitulacija Posebni dio'!H98</f>
        <v>6100</v>
      </c>
    </row>
    <row r="337" spans="1:10" s="130" customFormat="1" x14ac:dyDescent="0.25">
      <c r="A337" s="188"/>
      <c r="B337" s="174">
        <v>32359</v>
      </c>
      <c r="C337" s="131"/>
      <c r="D337" s="222" t="s">
        <v>133</v>
      </c>
      <c r="E337" s="161">
        <f>'Rekapitulacija Posebni dio'!C99</f>
        <v>0</v>
      </c>
      <c r="F337" s="161">
        <f>'Rekapitulacija Posebni dio'!D99</f>
        <v>0</v>
      </c>
      <c r="G337" s="161">
        <f>'Rekapitulacija Posebni dio'!E99</f>
        <v>332.72</v>
      </c>
      <c r="H337" s="161">
        <f>'Rekapitulacija Posebni dio'!F99</f>
        <v>332.72</v>
      </c>
      <c r="I337" s="161">
        <f>'Rekapitulacija Posebni dio'!G99</f>
        <v>332.72</v>
      </c>
      <c r="J337" s="161">
        <f>'Rekapitulacija Posebni dio'!H99</f>
        <v>332.72</v>
      </c>
    </row>
    <row r="338" spans="1:10" s="130" customFormat="1" x14ac:dyDescent="0.25">
      <c r="A338" s="188"/>
      <c r="B338" s="171">
        <v>3236</v>
      </c>
      <c r="C338" s="149"/>
      <c r="D338" s="223" t="s">
        <v>134</v>
      </c>
      <c r="E338" s="153">
        <f>SUM(E339:E342)</f>
        <v>0</v>
      </c>
      <c r="F338" s="153">
        <f t="shared" ref="F338:J338" si="203">SUM(F339:F342)</f>
        <v>0</v>
      </c>
      <c r="G338" s="153">
        <f>SUM(G339:G342)</f>
        <v>463000</v>
      </c>
      <c r="H338" s="153">
        <f>SUM(H339:H342)</f>
        <v>463000</v>
      </c>
      <c r="I338" s="153">
        <f t="shared" si="203"/>
        <v>471500</v>
      </c>
      <c r="J338" s="153">
        <f t="shared" si="203"/>
        <v>480000</v>
      </c>
    </row>
    <row r="339" spans="1:10" s="117" customFormat="1" x14ac:dyDescent="0.25">
      <c r="A339" s="213"/>
      <c r="B339" s="174">
        <v>32361</v>
      </c>
      <c r="C339" s="131"/>
      <c r="D339" s="222" t="s">
        <v>612</v>
      </c>
      <c r="E339" s="161">
        <f>'Rekapitulacija Posebni dio'!C101</f>
        <v>0</v>
      </c>
      <c r="F339" s="161">
        <f>'Rekapitulacija Posebni dio'!D101</f>
        <v>0</v>
      </c>
      <c r="G339" s="161">
        <f>'Rekapitulacija Posebni dio'!E101</f>
        <v>4000</v>
      </c>
      <c r="H339" s="161">
        <f>'Rekapitulacija Posebni dio'!F101</f>
        <v>4000</v>
      </c>
      <c r="I339" s="161">
        <f>'Rekapitulacija Posebni dio'!G101</f>
        <v>5000</v>
      </c>
      <c r="J339" s="161">
        <f>'Rekapitulacija Posebni dio'!H101</f>
        <v>6000</v>
      </c>
    </row>
    <row r="340" spans="1:10" s="117" customFormat="1" x14ac:dyDescent="0.25">
      <c r="A340" s="213"/>
      <c r="B340" s="174">
        <v>32362</v>
      </c>
      <c r="C340" s="131"/>
      <c r="D340" s="222" t="s">
        <v>611</v>
      </c>
      <c r="E340" s="161">
        <f>'Rekapitulacija Posebni dio'!C102</f>
        <v>0</v>
      </c>
      <c r="F340" s="161">
        <f>'Rekapitulacija Posebni dio'!D102</f>
        <v>0</v>
      </c>
      <c r="G340" s="161">
        <f>'Rekapitulacija Posebni dio'!E102</f>
        <v>2000</v>
      </c>
      <c r="H340" s="161">
        <f>'Rekapitulacija Posebni dio'!F102</f>
        <v>2000</v>
      </c>
      <c r="I340" s="161">
        <f>'Rekapitulacija Posebni dio'!G102</f>
        <v>3000</v>
      </c>
      <c r="J340" s="161">
        <f>'Rekapitulacija Posebni dio'!H102</f>
        <v>4000</v>
      </c>
    </row>
    <row r="341" spans="1:10" s="117" customFormat="1" x14ac:dyDescent="0.25">
      <c r="A341" s="213"/>
      <c r="B341" s="174">
        <v>32363</v>
      </c>
      <c r="C341" s="131"/>
      <c r="D341" s="222" t="s">
        <v>610</v>
      </c>
      <c r="E341" s="161">
        <f>'Rekapitulacija Posebni dio'!C103</f>
        <v>0</v>
      </c>
      <c r="F341" s="161">
        <f>'Rekapitulacija Posebni dio'!D103</f>
        <v>0</v>
      </c>
      <c r="G341" s="161">
        <f>'Rekapitulacija Posebni dio'!E103</f>
        <v>30000</v>
      </c>
      <c r="H341" s="161">
        <f>'Rekapitulacija Posebni dio'!F103</f>
        <v>30000</v>
      </c>
      <c r="I341" s="161">
        <f>'Rekapitulacija Posebni dio'!G103</f>
        <v>32500</v>
      </c>
      <c r="J341" s="161">
        <f>'Rekapitulacija Posebni dio'!H103</f>
        <v>35000</v>
      </c>
    </row>
    <row r="342" spans="1:10" s="117" customFormat="1" x14ac:dyDescent="0.25">
      <c r="A342" s="213"/>
      <c r="B342" s="174">
        <v>32369</v>
      </c>
      <c r="C342" s="131"/>
      <c r="D342" s="222" t="s">
        <v>134</v>
      </c>
      <c r="E342" s="161">
        <f>'Rekapitulacija Posebni dio'!C104</f>
        <v>0</v>
      </c>
      <c r="F342" s="161">
        <f>'Rekapitulacija Posebni dio'!D104</f>
        <v>0</v>
      </c>
      <c r="G342" s="161">
        <f>'Rekapitulacija Posebni dio'!E104</f>
        <v>427000</v>
      </c>
      <c r="H342" s="161">
        <f>'Rekapitulacija Posebni dio'!F104</f>
        <v>427000</v>
      </c>
      <c r="I342" s="161">
        <f>'Rekapitulacija Posebni dio'!G104</f>
        <v>431000</v>
      </c>
      <c r="J342" s="161">
        <f>'Rekapitulacija Posebni dio'!H104</f>
        <v>435000</v>
      </c>
    </row>
    <row r="343" spans="1:10" s="130" customFormat="1" x14ac:dyDescent="0.25">
      <c r="A343" s="188"/>
      <c r="B343" s="171">
        <v>3237</v>
      </c>
      <c r="C343" s="149"/>
      <c r="D343" s="223" t="s">
        <v>135</v>
      </c>
      <c r="E343" s="153">
        <f>SUM(E344:E347)</f>
        <v>0</v>
      </c>
      <c r="F343" s="153">
        <f t="shared" ref="F343:J343" si="204">SUM(F344:F347)</f>
        <v>0</v>
      </c>
      <c r="G343" s="153">
        <f>SUM(G344:G347)</f>
        <v>295500</v>
      </c>
      <c r="H343" s="153">
        <f>SUM(H344:H347)</f>
        <v>295500</v>
      </c>
      <c r="I343" s="153">
        <f t="shared" si="204"/>
        <v>303000</v>
      </c>
      <c r="J343" s="153">
        <f t="shared" si="204"/>
        <v>310500</v>
      </c>
    </row>
    <row r="344" spans="1:10" s="130" customFormat="1" x14ac:dyDescent="0.25">
      <c r="A344" s="188"/>
      <c r="B344" s="174">
        <v>32372</v>
      </c>
      <c r="C344" s="131"/>
      <c r="D344" s="222" t="s">
        <v>438</v>
      </c>
      <c r="E344" s="161">
        <f>'Rekapitulacija Posebni dio'!C106</f>
        <v>0</v>
      </c>
      <c r="F344" s="161">
        <f>'Rekapitulacija Posebni dio'!D106</f>
        <v>0</v>
      </c>
      <c r="G344" s="161">
        <f>'Rekapitulacija Posebni dio'!E106</f>
        <v>260000</v>
      </c>
      <c r="H344" s="161">
        <f>'Rekapitulacija Posebni dio'!F106</f>
        <v>260000</v>
      </c>
      <c r="I344" s="161">
        <f>'Rekapitulacija Posebni dio'!G106</f>
        <v>265000</v>
      </c>
      <c r="J344" s="161">
        <f>'Rekapitulacija Posebni dio'!H106</f>
        <v>270000</v>
      </c>
    </row>
    <row r="345" spans="1:10" s="130" customFormat="1" x14ac:dyDescent="0.25">
      <c r="A345" s="188"/>
      <c r="B345" s="174">
        <v>32373</v>
      </c>
      <c r="C345" s="131"/>
      <c r="D345" s="222" t="s">
        <v>543</v>
      </c>
      <c r="E345" s="161">
        <f>'Rekapitulacija Posebni dio'!C107</f>
        <v>0</v>
      </c>
      <c r="F345" s="161">
        <f>'Rekapitulacija Posebni dio'!D107</f>
        <v>0</v>
      </c>
      <c r="G345" s="161">
        <f>'Rekapitulacija Posebni dio'!E107</f>
        <v>25000</v>
      </c>
      <c r="H345" s="161">
        <f>'Rekapitulacija Posebni dio'!F107</f>
        <v>25000</v>
      </c>
      <c r="I345" s="161">
        <f>'Rekapitulacija Posebni dio'!G107</f>
        <v>26500</v>
      </c>
      <c r="J345" s="161">
        <f>'Rekapitulacija Posebni dio'!H107</f>
        <v>28000</v>
      </c>
    </row>
    <row r="346" spans="1:10" s="130" customFormat="1" x14ac:dyDescent="0.25">
      <c r="A346" s="188"/>
      <c r="B346" s="174">
        <v>32375</v>
      </c>
      <c r="C346" s="131"/>
      <c r="D346" s="222" t="s">
        <v>563</v>
      </c>
      <c r="E346" s="161">
        <f>'Rekapitulacija Posebni dio'!C108</f>
        <v>0</v>
      </c>
      <c r="F346" s="161">
        <f>'Rekapitulacija Posebni dio'!D108</f>
        <v>0</v>
      </c>
      <c r="G346" s="161">
        <f>'Rekapitulacija Posebni dio'!E108</f>
        <v>1000</v>
      </c>
      <c r="H346" s="161">
        <f>'Rekapitulacija Posebni dio'!F108</f>
        <v>1000</v>
      </c>
      <c r="I346" s="161">
        <f>'Rekapitulacija Posebni dio'!G108</f>
        <v>1000</v>
      </c>
      <c r="J346" s="161">
        <f>'Rekapitulacija Posebni dio'!H108</f>
        <v>1000</v>
      </c>
    </row>
    <row r="347" spans="1:10" s="130" customFormat="1" x14ac:dyDescent="0.25">
      <c r="A347" s="188"/>
      <c r="B347" s="174">
        <v>32379</v>
      </c>
      <c r="C347" s="131"/>
      <c r="D347" s="222" t="s">
        <v>505</v>
      </c>
      <c r="E347" s="161">
        <f>'Rekapitulacija Posebni dio'!C109</f>
        <v>0</v>
      </c>
      <c r="F347" s="161">
        <f>'Rekapitulacija Posebni dio'!D109</f>
        <v>0</v>
      </c>
      <c r="G347" s="161">
        <f>'Rekapitulacija Posebni dio'!E109</f>
        <v>9500</v>
      </c>
      <c r="H347" s="161">
        <f>'Rekapitulacija Posebni dio'!F109</f>
        <v>9500</v>
      </c>
      <c r="I347" s="161">
        <f>'Rekapitulacija Posebni dio'!G109</f>
        <v>10500</v>
      </c>
      <c r="J347" s="161">
        <f>'Rekapitulacija Posebni dio'!H109</f>
        <v>11500</v>
      </c>
    </row>
    <row r="348" spans="1:10" s="130" customFormat="1" x14ac:dyDescent="0.25">
      <c r="A348" s="188"/>
      <c r="B348" s="171" t="s">
        <v>136</v>
      </c>
      <c r="C348" s="149"/>
      <c r="D348" s="223" t="s">
        <v>137</v>
      </c>
      <c r="E348" s="153">
        <f t="shared" ref="E348:J348" si="205">SUM(E349)</f>
        <v>0</v>
      </c>
      <c r="F348" s="153">
        <f t="shared" si="205"/>
        <v>0</v>
      </c>
      <c r="G348" s="153">
        <f t="shared" si="205"/>
        <v>3500</v>
      </c>
      <c r="H348" s="153">
        <f t="shared" si="205"/>
        <v>3500</v>
      </c>
      <c r="I348" s="153">
        <f t="shared" si="205"/>
        <v>4500</v>
      </c>
      <c r="J348" s="153">
        <f t="shared" si="205"/>
        <v>5500</v>
      </c>
    </row>
    <row r="349" spans="1:10" s="130" customFormat="1" x14ac:dyDescent="0.25">
      <c r="A349" s="188"/>
      <c r="B349" s="174">
        <v>32389</v>
      </c>
      <c r="C349" s="131"/>
      <c r="D349" s="222" t="s">
        <v>137</v>
      </c>
      <c r="E349" s="161">
        <f>'Rekapitulacija Posebni dio'!C111</f>
        <v>0</v>
      </c>
      <c r="F349" s="161">
        <f>'Rekapitulacija Posebni dio'!D111</f>
        <v>0</v>
      </c>
      <c r="G349" s="161">
        <f>'Rekapitulacija Posebni dio'!E111</f>
        <v>3500</v>
      </c>
      <c r="H349" s="161">
        <f>'Rekapitulacija Posebni dio'!F111</f>
        <v>3500</v>
      </c>
      <c r="I349" s="161">
        <f>'Rekapitulacija Posebni dio'!G111</f>
        <v>4500</v>
      </c>
      <c r="J349" s="161">
        <f>'Rekapitulacija Posebni dio'!H111</f>
        <v>5500</v>
      </c>
    </row>
    <row r="350" spans="1:10" s="130" customFormat="1" x14ac:dyDescent="0.25">
      <c r="A350" s="188"/>
      <c r="B350" s="171" t="s">
        <v>138</v>
      </c>
      <c r="C350" s="149"/>
      <c r="D350" s="223" t="s">
        <v>139</v>
      </c>
      <c r="E350" s="153">
        <f>SUM(E351:E354)</f>
        <v>0</v>
      </c>
      <c r="F350" s="153">
        <f t="shared" ref="F350:J350" si="206">SUM(F351:F354)</f>
        <v>0</v>
      </c>
      <c r="G350" s="153">
        <f>SUM(G351:G354)</f>
        <v>52400</v>
      </c>
      <c r="H350" s="153">
        <f>SUM(H351:H354)</f>
        <v>52400</v>
      </c>
      <c r="I350" s="153">
        <f t="shared" si="206"/>
        <v>56700</v>
      </c>
      <c r="J350" s="153">
        <f t="shared" si="206"/>
        <v>61000</v>
      </c>
    </row>
    <row r="351" spans="1:10" s="117" customFormat="1" x14ac:dyDescent="0.25">
      <c r="A351" s="213"/>
      <c r="B351" s="174">
        <v>32391</v>
      </c>
      <c r="C351" s="131"/>
      <c r="D351" s="222" t="s">
        <v>613</v>
      </c>
      <c r="E351" s="161">
        <f>'Rekapitulacija Posebni dio'!C113</f>
        <v>0</v>
      </c>
      <c r="F351" s="161">
        <f>'Rekapitulacija Posebni dio'!D113</f>
        <v>0</v>
      </c>
      <c r="G351" s="161">
        <f>'Rekapitulacija Posebni dio'!E113</f>
        <v>1300</v>
      </c>
      <c r="H351" s="161">
        <f>'Rekapitulacija Posebni dio'!F113</f>
        <v>1300</v>
      </c>
      <c r="I351" s="161">
        <f>'Rekapitulacija Posebni dio'!G113</f>
        <v>1500</v>
      </c>
      <c r="J351" s="161">
        <f>'Rekapitulacija Posebni dio'!H113</f>
        <v>1700</v>
      </c>
    </row>
    <row r="352" spans="1:10" s="130" customFormat="1" x14ac:dyDescent="0.25">
      <c r="A352" s="188"/>
      <c r="B352" s="290">
        <v>32394</v>
      </c>
      <c r="C352" s="131"/>
      <c r="D352" s="289" t="s">
        <v>441</v>
      </c>
      <c r="E352" s="161">
        <f>'Rekapitulacija Posebni dio'!C114</f>
        <v>0</v>
      </c>
      <c r="F352" s="161">
        <f>'Rekapitulacija Posebni dio'!D114</f>
        <v>0</v>
      </c>
      <c r="G352" s="161">
        <f>'Rekapitulacija Posebni dio'!E114</f>
        <v>5800</v>
      </c>
      <c r="H352" s="161">
        <f>'Rekapitulacija Posebni dio'!F114</f>
        <v>5800</v>
      </c>
      <c r="I352" s="161">
        <f>'Rekapitulacija Posebni dio'!G114</f>
        <v>6400</v>
      </c>
      <c r="J352" s="161">
        <f>'Rekapitulacija Posebni dio'!H114</f>
        <v>7000</v>
      </c>
    </row>
    <row r="353" spans="1:10" s="130" customFormat="1" x14ac:dyDescent="0.25">
      <c r="A353" s="188"/>
      <c r="B353" s="290">
        <v>32395</v>
      </c>
      <c r="C353" s="131"/>
      <c r="D353" s="289" t="s">
        <v>442</v>
      </c>
      <c r="E353" s="161">
        <f>'Rekapitulacija Posebni dio'!C115</f>
        <v>0</v>
      </c>
      <c r="F353" s="161">
        <f>'Rekapitulacija Posebni dio'!D115</f>
        <v>0</v>
      </c>
      <c r="G353" s="161">
        <f>'Rekapitulacija Posebni dio'!E115</f>
        <v>17300</v>
      </c>
      <c r="H353" s="161">
        <f>'Rekapitulacija Posebni dio'!F115</f>
        <v>17300</v>
      </c>
      <c r="I353" s="161">
        <f>'Rekapitulacija Posebni dio'!G115</f>
        <v>18300</v>
      </c>
      <c r="J353" s="161">
        <f>'Rekapitulacija Posebni dio'!H115</f>
        <v>19300</v>
      </c>
    </row>
    <row r="354" spans="1:10" s="117" customFormat="1" x14ac:dyDescent="0.25">
      <c r="A354" s="213"/>
      <c r="B354" s="290">
        <v>32399</v>
      </c>
      <c r="C354" s="131"/>
      <c r="D354" s="289" t="s">
        <v>311</v>
      </c>
      <c r="E354" s="161">
        <f>'Rekapitulacija Posebni dio'!C116</f>
        <v>0</v>
      </c>
      <c r="F354" s="161">
        <f>'Rekapitulacija Posebni dio'!D116</f>
        <v>0</v>
      </c>
      <c r="G354" s="161">
        <f>'Rekapitulacija Posebni dio'!E116</f>
        <v>28000</v>
      </c>
      <c r="H354" s="161">
        <f>'Rekapitulacija Posebni dio'!F116</f>
        <v>28000</v>
      </c>
      <c r="I354" s="161">
        <f>'Rekapitulacija Posebni dio'!G116</f>
        <v>30500</v>
      </c>
      <c r="J354" s="161">
        <f>'Rekapitulacija Posebni dio'!H116</f>
        <v>33000</v>
      </c>
    </row>
    <row r="355" spans="1:10" s="117" customFormat="1" x14ac:dyDescent="0.25">
      <c r="A355" s="213"/>
      <c r="B355" s="154">
        <v>324</v>
      </c>
      <c r="C355" s="149"/>
      <c r="D355" s="156" t="s">
        <v>140</v>
      </c>
      <c r="E355" s="153">
        <f t="shared" ref="E355:J356" si="207">SUM(E356)</f>
        <v>0</v>
      </c>
      <c r="F355" s="153">
        <f t="shared" si="207"/>
        <v>0</v>
      </c>
      <c r="G355" s="153">
        <f t="shared" si="207"/>
        <v>400</v>
      </c>
      <c r="H355" s="153">
        <f t="shared" si="207"/>
        <v>400</v>
      </c>
      <c r="I355" s="153">
        <f t="shared" si="207"/>
        <v>400</v>
      </c>
      <c r="J355" s="153">
        <f t="shared" si="207"/>
        <v>400</v>
      </c>
    </row>
    <row r="356" spans="1:10" s="117" customFormat="1" x14ac:dyDescent="0.25">
      <c r="A356" s="213"/>
      <c r="B356" s="154">
        <v>3241</v>
      </c>
      <c r="C356" s="149"/>
      <c r="D356" s="156" t="s">
        <v>140</v>
      </c>
      <c r="E356" s="153">
        <f t="shared" si="207"/>
        <v>0</v>
      </c>
      <c r="F356" s="153">
        <f t="shared" si="207"/>
        <v>0</v>
      </c>
      <c r="G356" s="153">
        <f t="shared" si="207"/>
        <v>400</v>
      </c>
      <c r="H356" s="153">
        <f t="shared" si="207"/>
        <v>400</v>
      </c>
      <c r="I356" s="153">
        <f t="shared" si="207"/>
        <v>400</v>
      </c>
      <c r="J356" s="153">
        <f t="shared" si="207"/>
        <v>400</v>
      </c>
    </row>
    <row r="357" spans="1:10" s="117" customFormat="1" x14ac:dyDescent="0.25">
      <c r="A357" s="213"/>
      <c r="B357" s="158" t="s">
        <v>506</v>
      </c>
      <c r="C357" s="149"/>
      <c r="D357" s="159" t="s">
        <v>452</v>
      </c>
      <c r="E357" s="161">
        <f>'Rekapitulacija Posebni dio'!C119</f>
        <v>0</v>
      </c>
      <c r="F357" s="161">
        <f>'Rekapitulacija Posebni dio'!D119</f>
        <v>0</v>
      </c>
      <c r="G357" s="161">
        <f>'Rekapitulacija Posebni dio'!E119</f>
        <v>400</v>
      </c>
      <c r="H357" s="161">
        <f>'Rekapitulacija Posebni dio'!F119</f>
        <v>400</v>
      </c>
      <c r="I357" s="161">
        <f>'Rekapitulacija Posebni dio'!G119</f>
        <v>400</v>
      </c>
      <c r="J357" s="161">
        <f>'Rekapitulacija Posebni dio'!H119</f>
        <v>400</v>
      </c>
    </row>
    <row r="358" spans="1:10" s="130" customFormat="1" x14ac:dyDescent="0.25">
      <c r="A358" s="188"/>
      <c r="B358" s="154" t="s">
        <v>579</v>
      </c>
      <c r="C358" s="149"/>
      <c r="D358" s="156" t="s">
        <v>633</v>
      </c>
      <c r="E358" s="153">
        <f>E359+E362+E364</f>
        <v>0</v>
      </c>
      <c r="F358" s="153">
        <f t="shared" ref="F358:J358" si="208">F359+F362+F364</f>
        <v>0</v>
      </c>
      <c r="G358" s="153">
        <f>G359+G362+G364</f>
        <v>2675733</v>
      </c>
      <c r="H358" s="153">
        <f>H359+H362+H364</f>
        <v>2675733</v>
      </c>
      <c r="I358" s="153">
        <f t="shared" si="208"/>
        <v>2753733</v>
      </c>
      <c r="J358" s="153">
        <f t="shared" si="208"/>
        <v>2834233</v>
      </c>
    </row>
    <row r="359" spans="1:10" s="130" customFormat="1" x14ac:dyDescent="0.25">
      <c r="A359" s="188"/>
      <c r="B359" s="154" t="s">
        <v>580</v>
      </c>
      <c r="C359" s="149"/>
      <c r="D359" s="156" t="s">
        <v>633</v>
      </c>
      <c r="E359" s="153">
        <f>E360+E361</f>
        <v>0</v>
      </c>
      <c r="F359" s="153">
        <f t="shared" ref="F359:J359" si="209">F360+F361</f>
        <v>0</v>
      </c>
      <c r="G359" s="153">
        <f t="shared" ref="G359" si="210">G360+G361</f>
        <v>990000</v>
      </c>
      <c r="H359" s="153">
        <f t="shared" si="209"/>
        <v>990000</v>
      </c>
      <c r="I359" s="153">
        <f t="shared" si="209"/>
        <v>1037000</v>
      </c>
      <c r="J359" s="153">
        <f t="shared" si="209"/>
        <v>1085700</v>
      </c>
    </row>
    <row r="360" spans="1:10" s="117" customFormat="1" x14ac:dyDescent="0.25">
      <c r="A360" s="213"/>
      <c r="B360" s="158" t="s">
        <v>581</v>
      </c>
      <c r="C360" s="149"/>
      <c r="D360" s="159" t="s">
        <v>583</v>
      </c>
      <c r="E360" s="161">
        <f>'Rekapitulacija Posebni dio'!C122</f>
        <v>0</v>
      </c>
      <c r="F360" s="161">
        <f>'Rekapitulacija Posebni dio'!D122</f>
        <v>0</v>
      </c>
      <c r="G360" s="161">
        <f>'Rekapitulacija Posebni dio'!E122</f>
        <v>60000</v>
      </c>
      <c r="H360" s="161">
        <f>'Rekapitulacija Posebni dio'!F122</f>
        <v>60000</v>
      </c>
      <c r="I360" s="161">
        <f>'Rekapitulacija Posebni dio'!G122</f>
        <v>73000</v>
      </c>
      <c r="J360" s="161">
        <f>'Rekapitulacija Posebni dio'!H122</f>
        <v>87000</v>
      </c>
    </row>
    <row r="361" spans="1:10" s="117" customFormat="1" x14ac:dyDescent="0.25">
      <c r="A361" s="213"/>
      <c r="B361" s="158" t="s">
        <v>582</v>
      </c>
      <c r="C361" s="149"/>
      <c r="D361" s="159" t="s">
        <v>584</v>
      </c>
      <c r="E361" s="161">
        <f>'Rekapitulacija Posebni dio'!C123</f>
        <v>0</v>
      </c>
      <c r="F361" s="161">
        <f>'Rekapitulacija Posebni dio'!D123</f>
        <v>0</v>
      </c>
      <c r="G361" s="161">
        <f>'Rekapitulacija Posebni dio'!E123</f>
        <v>930000</v>
      </c>
      <c r="H361" s="161">
        <f>'Rekapitulacija Posebni dio'!F123</f>
        <v>930000</v>
      </c>
      <c r="I361" s="161">
        <f>'Rekapitulacija Posebni dio'!G123</f>
        <v>964000</v>
      </c>
      <c r="J361" s="161">
        <f>'Rekapitulacija Posebni dio'!H123</f>
        <v>998700</v>
      </c>
    </row>
    <row r="362" spans="1:10" s="117" customFormat="1" x14ac:dyDescent="0.25">
      <c r="A362" s="213"/>
      <c r="B362" s="154" t="s">
        <v>614</v>
      </c>
      <c r="C362" s="149"/>
      <c r="D362" s="373" t="s">
        <v>616</v>
      </c>
      <c r="E362" s="153">
        <f>E363</f>
        <v>0</v>
      </c>
      <c r="F362" s="153">
        <f t="shared" ref="F362:J362" si="211">F363</f>
        <v>0</v>
      </c>
      <c r="G362" s="153">
        <f t="shared" si="211"/>
        <v>5000</v>
      </c>
      <c r="H362" s="153">
        <f t="shared" si="211"/>
        <v>5000</v>
      </c>
      <c r="I362" s="153">
        <f t="shared" si="211"/>
        <v>6000</v>
      </c>
      <c r="J362" s="153">
        <f t="shared" si="211"/>
        <v>7000</v>
      </c>
    </row>
    <row r="363" spans="1:10" s="117" customFormat="1" x14ac:dyDescent="0.25">
      <c r="A363" s="213"/>
      <c r="B363" s="158" t="s">
        <v>615</v>
      </c>
      <c r="C363" s="149"/>
      <c r="D363" s="374" t="s">
        <v>621</v>
      </c>
      <c r="E363" s="161">
        <f>'Rekapitulacija Posebni dio'!C125</f>
        <v>0</v>
      </c>
      <c r="F363" s="161">
        <f>'Rekapitulacija Posebni dio'!D125</f>
        <v>0</v>
      </c>
      <c r="G363" s="161">
        <f>'Rekapitulacija Posebni dio'!E125</f>
        <v>5000</v>
      </c>
      <c r="H363" s="161">
        <f>'Rekapitulacija Posebni dio'!F125</f>
        <v>5000</v>
      </c>
      <c r="I363" s="161">
        <f>'Rekapitulacija Posebni dio'!G125</f>
        <v>6000</v>
      </c>
      <c r="J363" s="161">
        <f>'Rekapitulacija Posebni dio'!H125</f>
        <v>7000</v>
      </c>
    </row>
    <row r="364" spans="1:10" s="117" customFormat="1" x14ac:dyDescent="0.25">
      <c r="A364" s="213"/>
      <c r="B364" s="154" t="s">
        <v>617</v>
      </c>
      <c r="C364" s="149"/>
      <c r="D364" s="373" t="s">
        <v>619</v>
      </c>
      <c r="E364" s="153">
        <f>E365</f>
        <v>0</v>
      </c>
      <c r="F364" s="153">
        <f t="shared" ref="F364:J364" si="212">F365</f>
        <v>0</v>
      </c>
      <c r="G364" s="153">
        <f t="shared" si="212"/>
        <v>1680733</v>
      </c>
      <c r="H364" s="153">
        <f t="shared" si="212"/>
        <v>1680733</v>
      </c>
      <c r="I364" s="153">
        <f t="shared" si="212"/>
        <v>1710733</v>
      </c>
      <c r="J364" s="153">
        <f t="shared" si="212"/>
        <v>1741533</v>
      </c>
    </row>
    <row r="365" spans="1:10" s="117" customFormat="1" x14ac:dyDescent="0.25">
      <c r="A365" s="213"/>
      <c r="B365" s="158" t="s">
        <v>618</v>
      </c>
      <c r="C365" s="149"/>
      <c r="D365" s="374" t="s">
        <v>620</v>
      </c>
      <c r="E365" s="161">
        <f>'Rekapitulacija Posebni dio'!C127</f>
        <v>0</v>
      </c>
      <c r="F365" s="161">
        <f>'Rekapitulacija Posebni dio'!D127</f>
        <v>0</v>
      </c>
      <c r="G365" s="161">
        <f>'Rekapitulacija Posebni dio'!E127</f>
        <v>1680733</v>
      </c>
      <c r="H365" s="161">
        <f>'Rekapitulacija Posebni dio'!F127</f>
        <v>1680733</v>
      </c>
      <c r="I365" s="161">
        <f>'Rekapitulacija Posebni dio'!G127</f>
        <v>1710733</v>
      </c>
      <c r="J365" s="161">
        <f>'Rekapitulacija Posebni dio'!H127</f>
        <v>1741533</v>
      </c>
    </row>
    <row r="366" spans="1:10" s="117" customFormat="1" x14ac:dyDescent="0.25">
      <c r="A366" s="213"/>
      <c r="B366" s="171">
        <v>329</v>
      </c>
      <c r="C366" s="149"/>
      <c r="D366" s="223" t="s">
        <v>141</v>
      </c>
      <c r="E366" s="153">
        <f t="shared" ref="E366" si="213">E367+E369+E373+E375+E377+E382+E384</f>
        <v>0</v>
      </c>
      <c r="F366" s="153">
        <f t="shared" ref="F366:J366" si="214">F367+F369+F373+F375+F377+F382+F384</f>
        <v>0</v>
      </c>
      <c r="G366" s="153">
        <f t="shared" ref="G366" si="215">G367+G369+G373+G375+G377+G382+G384</f>
        <v>120680</v>
      </c>
      <c r="H366" s="153">
        <f t="shared" si="214"/>
        <v>120680</v>
      </c>
      <c r="I366" s="153">
        <f t="shared" si="214"/>
        <v>129740</v>
      </c>
      <c r="J366" s="153">
        <f t="shared" si="214"/>
        <v>140100</v>
      </c>
    </row>
    <row r="367" spans="1:10" s="117" customFormat="1" ht="15.75" customHeight="1" x14ac:dyDescent="0.25">
      <c r="A367" s="213"/>
      <c r="B367" s="171" t="s">
        <v>142</v>
      </c>
      <c r="C367" s="149"/>
      <c r="D367" s="156" t="s">
        <v>549</v>
      </c>
      <c r="E367" s="153">
        <f t="shared" ref="E367:J367" si="216">SUM(E368)</f>
        <v>0</v>
      </c>
      <c r="F367" s="153">
        <f t="shared" si="216"/>
        <v>0</v>
      </c>
      <c r="G367" s="153">
        <f t="shared" si="216"/>
        <v>25500</v>
      </c>
      <c r="H367" s="153">
        <f t="shared" si="216"/>
        <v>25500</v>
      </c>
      <c r="I367" s="153">
        <f t="shared" si="216"/>
        <v>27500</v>
      </c>
      <c r="J367" s="153">
        <f t="shared" si="216"/>
        <v>30500</v>
      </c>
    </row>
    <row r="368" spans="1:10" s="117" customFormat="1" ht="14.25" customHeight="1" x14ac:dyDescent="0.25">
      <c r="A368" s="213"/>
      <c r="B368" s="174">
        <v>32911</v>
      </c>
      <c r="C368" s="131"/>
      <c r="D368" s="159" t="s">
        <v>143</v>
      </c>
      <c r="E368" s="161">
        <f>'Rekapitulacija Posebni dio'!C130</f>
        <v>0</v>
      </c>
      <c r="F368" s="161">
        <f>'Rekapitulacija Posebni dio'!D130</f>
        <v>0</v>
      </c>
      <c r="G368" s="161">
        <f>'Rekapitulacija Posebni dio'!E130</f>
        <v>25500</v>
      </c>
      <c r="H368" s="161">
        <f>'Rekapitulacija Posebni dio'!F130</f>
        <v>25500</v>
      </c>
      <c r="I368" s="161">
        <f>'Rekapitulacija Posebni dio'!G130</f>
        <v>27500</v>
      </c>
      <c r="J368" s="161">
        <f>'Rekapitulacija Posebni dio'!H130</f>
        <v>30500</v>
      </c>
    </row>
    <row r="369" spans="1:10" s="117" customFormat="1" x14ac:dyDescent="0.25">
      <c r="A369" s="213"/>
      <c r="B369" s="171">
        <v>3292</v>
      </c>
      <c r="C369" s="149"/>
      <c r="D369" s="223" t="s">
        <v>144</v>
      </c>
      <c r="E369" s="153">
        <f t="shared" ref="E369" si="217">SUM(E370:E372)</f>
        <v>0</v>
      </c>
      <c r="F369" s="153">
        <f t="shared" ref="F369:J369" si="218">SUM(F370:F372)</f>
        <v>0</v>
      </c>
      <c r="G369" s="153">
        <f t="shared" ref="G369" si="219">SUM(G370:G372)</f>
        <v>72000</v>
      </c>
      <c r="H369" s="153">
        <f t="shared" si="218"/>
        <v>72000</v>
      </c>
      <c r="I369" s="153">
        <f t="shared" si="218"/>
        <v>76200</v>
      </c>
      <c r="J369" s="153">
        <f t="shared" si="218"/>
        <v>80700</v>
      </c>
    </row>
    <row r="370" spans="1:10" s="117" customFormat="1" x14ac:dyDescent="0.25">
      <c r="A370" s="213"/>
      <c r="B370" s="174">
        <v>32921</v>
      </c>
      <c r="C370" s="149"/>
      <c r="D370" s="289" t="s">
        <v>446</v>
      </c>
      <c r="E370" s="153">
        <f>'Rekapitulacija Posebni dio'!C132</f>
        <v>0</v>
      </c>
      <c r="F370" s="153">
        <f>'Rekapitulacija Posebni dio'!D132</f>
        <v>0</v>
      </c>
      <c r="G370" s="153">
        <f>'Rekapitulacija Posebni dio'!E132</f>
        <v>11500</v>
      </c>
      <c r="H370" s="153">
        <f>'Rekapitulacija Posebni dio'!F132</f>
        <v>11500</v>
      </c>
      <c r="I370" s="153">
        <f>'Rekapitulacija Posebni dio'!G132</f>
        <v>12500</v>
      </c>
      <c r="J370" s="153">
        <f>'Rekapitulacija Posebni dio'!H132</f>
        <v>13500</v>
      </c>
    </row>
    <row r="371" spans="1:10" s="117" customFormat="1" x14ac:dyDescent="0.25">
      <c r="A371" s="213"/>
      <c r="B371" s="174">
        <v>32922</v>
      </c>
      <c r="C371" s="149"/>
      <c r="D371" s="289" t="s">
        <v>445</v>
      </c>
      <c r="E371" s="153">
        <f>'Rekapitulacija Posebni dio'!C133</f>
        <v>0</v>
      </c>
      <c r="F371" s="153">
        <f>'Rekapitulacija Posebni dio'!D133</f>
        <v>0</v>
      </c>
      <c r="G371" s="153">
        <f>'Rekapitulacija Posebni dio'!E133</f>
        <v>32800</v>
      </c>
      <c r="H371" s="153">
        <f>'Rekapitulacija Posebni dio'!F133</f>
        <v>32800</v>
      </c>
      <c r="I371" s="153">
        <f>'Rekapitulacija Posebni dio'!G133</f>
        <v>34000</v>
      </c>
      <c r="J371" s="153">
        <f>'Rekapitulacija Posebni dio'!H133</f>
        <v>35500</v>
      </c>
    </row>
    <row r="372" spans="1:10" s="117" customFormat="1" x14ac:dyDescent="0.25">
      <c r="A372" s="213"/>
      <c r="B372" s="174">
        <v>32923</v>
      </c>
      <c r="C372" s="131"/>
      <c r="D372" s="289" t="s">
        <v>443</v>
      </c>
      <c r="E372" s="161">
        <f>'Rekapitulacija Posebni dio'!C134</f>
        <v>0</v>
      </c>
      <c r="F372" s="161">
        <f>'Rekapitulacija Posebni dio'!D134</f>
        <v>0</v>
      </c>
      <c r="G372" s="161">
        <f>'Rekapitulacija Posebni dio'!E134</f>
        <v>27700</v>
      </c>
      <c r="H372" s="161">
        <f>'Rekapitulacija Posebni dio'!F134</f>
        <v>27700</v>
      </c>
      <c r="I372" s="161">
        <f>'Rekapitulacija Posebni dio'!G134</f>
        <v>29700</v>
      </c>
      <c r="J372" s="161">
        <f>'Rekapitulacija Posebni dio'!H134</f>
        <v>31700</v>
      </c>
    </row>
    <row r="373" spans="1:10" s="117" customFormat="1" x14ac:dyDescent="0.25">
      <c r="A373" s="213"/>
      <c r="B373" s="171">
        <v>3293</v>
      </c>
      <c r="C373" s="149"/>
      <c r="D373" s="223" t="s">
        <v>145</v>
      </c>
      <c r="E373" s="153">
        <f t="shared" ref="E373:J373" si="220">SUM(E374)</f>
        <v>0</v>
      </c>
      <c r="F373" s="153">
        <f t="shared" si="220"/>
        <v>0</v>
      </c>
      <c r="G373" s="153">
        <f t="shared" si="220"/>
        <v>3350</v>
      </c>
      <c r="H373" s="153">
        <f t="shared" si="220"/>
        <v>3350</v>
      </c>
      <c r="I373" s="153">
        <f t="shared" si="220"/>
        <v>3750</v>
      </c>
      <c r="J373" s="153">
        <f t="shared" si="220"/>
        <v>4250</v>
      </c>
    </row>
    <row r="374" spans="1:10" s="117" customFormat="1" x14ac:dyDescent="0.25">
      <c r="A374" s="213"/>
      <c r="B374" s="174">
        <v>32931</v>
      </c>
      <c r="C374" s="131"/>
      <c r="D374" s="222" t="s">
        <v>145</v>
      </c>
      <c r="E374" s="161">
        <f>'Rekapitulacija Posebni dio'!C136</f>
        <v>0</v>
      </c>
      <c r="F374" s="161">
        <f>'Rekapitulacija Posebni dio'!D136</f>
        <v>0</v>
      </c>
      <c r="G374" s="161">
        <f>'Rekapitulacija Posebni dio'!E136</f>
        <v>3350</v>
      </c>
      <c r="H374" s="161">
        <f>'Rekapitulacija Posebni dio'!F136</f>
        <v>3350</v>
      </c>
      <c r="I374" s="161">
        <f>'Rekapitulacija Posebni dio'!G136</f>
        <v>3750</v>
      </c>
      <c r="J374" s="161">
        <f>'Rekapitulacija Posebni dio'!H136</f>
        <v>4250</v>
      </c>
    </row>
    <row r="375" spans="1:10" s="117" customFormat="1" x14ac:dyDescent="0.25">
      <c r="A375" s="213"/>
      <c r="B375" s="171">
        <v>3294</v>
      </c>
      <c r="C375" s="149"/>
      <c r="D375" s="223" t="s">
        <v>146</v>
      </c>
      <c r="E375" s="153">
        <f t="shared" ref="E375:J375" si="221">SUM(E376)</f>
        <v>0</v>
      </c>
      <c r="F375" s="153">
        <f t="shared" si="221"/>
        <v>0</v>
      </c>
      <c r="G375" s="153">
        <f t="shared" si="221"/>
        <v>5750</v>
      </c>
      <c r="H375" s="153">
        <f t="shared" si="221"/>
        <v>5750</v>
      </c>
      <c r="I375" s="153">
        <f t="shared" si="221"/>
        <v>6000</v>
      </c>
      <c r="J375" s="153">
        <f t="shared" si="221"/>
        <v>6250</v>
      </c>
    </row>
    <row r="376" spans="1:10" s="117" customFormat="1" x14ac:dyDescent="0.25">
      <c r="A376" s="213"/>
      <c r="B376" s="174">
        <v>32941</v>
      </c>
      <c r="C376" s="131"/>
      <c r="D376" s="222" t="s">
        <v>544</v>
      </c>
      <c r="E376" s="161">
        <f>'Rekapitulacija Posebni dio'!C138</f>
        <v>0</v>
      </c>
      <c r="F376" s="161">
        <f>'Rekapitulacija Posebni dio'!D138</f>
        <v>0</v>
      </c>
      <c r="G376" s="161">
        <f>'Rekapitulacija Posebni dio'!E138</f>
        <v>5750</v>
      </c>
      <c r="H376" s="161">
        <f>'Rekapitulacija Posebni dio'!F138</f>
        <v>5750</v>
      </c>
      <c r="I376" s="161">
        <f>'Rekapitulacija Posebni dio'!G138</f>
        <v>6000</v>
      </c>
      <c r="J376" s="161">
        <f>'Rekapitulacija Posebni dio'!H138</f>
        <v>6250</v>
      </c>
    </row>
    <row r="377" spans="1:10" s="117" customFormat="1" x14ac:dyDescent="0.25">
      <c r="A377" s="213"/>
      <c r="B377" s="166">
        <v>3295</v>
      </c>
      <c r="C377" s="149"/>
      <c r="D377" s="227" t="s">
        <v>147</v>
      </c>
      <c r="E377" s="153">
        <f>SUM(E378:E381)</f>
        <v>0</v>
      </c>
      <c r="F377" s="153">
        <f t="shared" ref="F377:J377" si="222">SUM(F378:F381)</f>
        <v>0</v>
      </c>
      <c r="G377" s="153">
        <f t="shared" ref="G377" si="223">SUM(G378:G381)</f>
        <v>4360</v>
      </c>
      <c r="H377" s="153">
        <f t="shared" si="222"/>
        <v>4360</v>
      </c>
      <c r="I377" s="153">
        <f t="shared" si="222"/>
        <v>4970</v>
      </c>
      <c r="J377" s="153">
        <f t="shared" si="222"/>
        <v>5480</v>
      </c>
    </row>
    <row r="378" spans="1:10" s="117" customFormat="1" x14ac:dyDescent="0.25">
      <c r="A378" s="213"/>
      <c r="B378" s="181">
        <v>32951</v>
      </c>
      <c r="C378" s="131"/>
      <c r="D378" s="224" t="s">
        <v>622</v>
      </c>
      <c r="E378" s="161">
        <f>'Rekapitulacija Posebni dio'!C140</f>
        <v>0</v>
      </c>
      <c r="F378" s="161">
        <f>'Rekapitulacija Posebni dio'!D140</f>
        <v>0</v>
      </c>
      <c r="G378" s="161">
        <f>'Rekapitulacija Posebni dio'!E140</f>
        <v>10</v>
      </c>
      <c r="H378" s="161">
        <f>'Rekapitulacija Posebni dio'!F140</f>
        <v>10</v>
      </c>
      <c r="I378" s="161">
        <f>'Rekapitulacija Posebni dio'!G140</f>
        <v>20</v>
      </c>
      <c r="J378" s="161">
        <f>'Rekapitulacija Posebni dio'!H140</f>
        <v>30</v>
      </c>
    </row>
    <row r="379" spans="1:10" s="117" customFormat="1" x14ac:dyDescent="0.25">
      <c r="A379" s="213"/>
      <c r="B379" s="174">
        <v>32952</v>
      </c>
      <c r="C379" s="131"/>
      <c r="D379" s="291" t="s">
        <v>449</v>
      </c>
      <c r="E379" s="161">
        <f>'Rekapitulacija Posebni dio'!C141</f>
        <v>0</v>
      </c>
      <c r="F379" s="161">
        <f>'Rekapitulacija Posebni dio'!D141</f>
        <v>0</v>
      </c>
      <c r="G379" s="161">
        <f>'Rekapitulacija Posebni dio'!E141</f>
        <v>1100</v>
      </c>
      <c r="H379" s="161">
        <f>'Rekapitulacija Posebni dio'!F141</f>
        <v>1100</v>
      </c>
      <c r="I379" s="161">
        <f>'Rekapitulacija Posebni dio'!G141</f>
        <v>1300</v>
      </c>
      <c r="J379" s="161">
        <f>'Rekapitulacija Posebni dio'!H141</f>
        <v>1400</v>
      </c>
    </row>
    <row r="380" spans="1:10" s="117" customFormat="1" x14ac:dyDescent="0.25">
      <c r="A380" s="213"/>
      <c r="B380" s="174">
        <v>32953</v>
      </c>
      <c r="C380" s="131"/>
      <c r="D380" s="291" t="s">
        <v>450</v>
      </c>
      <c r="E380" s="161">
        <f>'Rekapitulacija Posebni dio'!C142</f>
        <v>0</v>
      </c>
      <c r="F380" s="161">
        <f>'Rekapitulacija Posebni dio'!D142</f>
        <v>0</v>
      </c>
      <c r="G380" s="161">
        <f>'Rekapitulacija Posebni dio'!E142</f>
        <v>800</v>
      </c>
      <c r="H380" s="161">
        <f>'Rekapitulacija Posebni dio'!F142</f>
        <v>800</v>
      </c>
      <c r="I380" s="161">
        <f>'Rekapitulacija Posebni dio'!G142</f>
        <v>900</v>
      </c>
      <c r="J380" s="161">
        <f>'Rekapitulacija Posebni dio'!H142</f>
        <v>1000</v>
      </c>
    </row>
    <row r="381" spans="1:10" s="117" customFormat="1" x14ac:dyDescent="0.25">
      <c r="A381" s="213"/>
      <c r="B381" s="181">
        <v>32959</v>
      </c>
      <c r="C381" s="131"/>
      <c r="D381" s="291" t="s">
        <v>448</v>
      </c>
      <c r="E381" s="161">
        <f>'Rekapitulacija Posebni dio'!C143</f>
        <v>0</v>
      </c>
      <c r="F381" s="161">
        <f>'Rekapitulacija Posebni dio'!D143</f>
        <v>0</v>
      </c>
      <c r="G381" s="161">
        <f>'Rekapitulacija Posebni dio'!E143</f>
        <v>2450</v>
      </c>
      <c r="H381" s="161">
        <f>'Rekapitulacija Posebni dio'!F143</f>
        <v>2450</v>
      </c>
      <c r="I381" s="161">
        <f>'Rekapitulacija Posebni dio'!G143</f>
        <v>2750</v>
      </c>
      <c r="J381" s="161">
        <f>'Rekapitulacija Posebni dio'!H143</f>
        <v>3050</v>
      </c>
    </row>
    <row r="382" spans="1:10" s="117" customFormat="1" x14ac:dyDescent="0.25">
      <c r="A382" s="213"/>
      <c r="B382" s="166">
        <v>3296</v>
      </c>
      <c r="C382" s="149"/>
      <c r="D382" s="227" t="s">
        <v>148</v>
      </c>
      <c r="E382" s="153">
        <f t="shared" ref="E382:J382" si="224">SUM(E383)</f>
        <v>0</v>
      </c>
      <c r="F382" s="153">
        <f t="shared" si="224"/>
        <v>0</v>
      </c>
      <c r="G382" s="153">
        <f t="shared" si="224"/>
        <v>4000</v>
      </c>
      <c r="H382" s="153">
        <f t="shared" si="224"/>
        <v>4000</v>
      </c>
      <c r="I382" s="153">
        <f t="shared" si="224"/>
        <v>4500</v>
      </c>
      <c r="J382" s="153">
        <f t="shared" si="224"/>
        <v>5000</v>
      </c>
    </row>
    <row r="383" spans="1:10" s="117" customFormat="1" x14ac:dyDescent="0.25">
      <c r="A383" s="213"/>
      <c r="B383" s="181">
        <v>32961</v>
      </c>
      <c r="C383" s="131"/>
      <c r="D383" s="224" t="s">
        <v>148</v>
      </c>
      <c r="E383" s="161">
        <f>'Rekapitulacija Posebni dio'!C145</f>
        <v>0</v>
      </c>
      <c r="F383" s="161">
        <f>'Rekapitulacija Posebni dio'!D145</f>
        <v>0</v>
      </c>
      <c r="G383" s="161">
        <f>'Rekapitulacija Posebni dio'!E145</f>
        <v>4000</v>
      </c>
      <c r="H383" s="161">
        <f>'Rekapitulacija Posebni dio'!F145</f>
        <v>4000</v>
      </c>
      <c r="I383" s="161">
        <f>'Rekapitulacija Posebni dio'!G145</f>
        <v>4500</v>
      </c>
      <c r="J383" s="161">
        <f>'Rekapitulacija Posebni dio'!H145</f>
        <v>5000</v>
      </c>
    </row>
    <row r="384" spans="1:10" s="117" customFormat="1" x14ac:dyDescent="0.25">
      <c r="A384" s="213"/>
      <c r="B384" s="166" t="s">
        <v>149</v>
      </c>
      <c r="C384" s="149"/>
      <c r="D384" s="227" t="s">
        <v>141</v>
      </c>
      <c r="E384" s="153">
        <f t="shared" ref="E384" si="225">SUM(E385:E386)</f>
        <v>0</v>
      </c>
      <c r="F384" s="153">
        <f t="shared" ref="F384:J384" si="226">SUM(F385:F386)</f>
        <v>0</v>
      </c>
      <c r="G384" s="153">
        <f t="shared" ref="G384" si="227">SUM(G385:G386)</f>
        <v>5720</v>
      </c>
      <c r="H384" s="153">
        <f t="shared" si="226"/>
        <v>5720</v>
      </c>
      <c r="I384" s="153">
        <f t="shared" si="226"/>
        <v>6820</v>
      </c>
      <c r="J384" s="153">
        <f t="shared" si="226"/>
        <v>7920</v>
      </c>
    </row>
    <row r="385" spans="1:10" s="117" customFormat="1" x14ac:dyDescent="0.25">
      <c r="A385" s="213"/>
      <c r="B385" s="181">
        <v>32991</v>
      </c>
      <c r="C385" s="131"/>
      <c r="D385" s="291" t="s">
        <v>451</v>
      </c>
      <c r="E385" s="161">
        <f>'Rekapitulacija Posebni dio'!C147</f>
        <v>0</v>
      </c>
      <c r="F385" s="161">
        <f>'Rekapitulacija Posebni dio'!D147</f>
        <v>0</v>
      </c>
      <c r="G385" s="161">
        <f>'Rekapitulacija Posebni dio'!E147</f>
        <v>200</v>
      </c>
      <c r="H385" s="161">
        <f>'Rekapitulacija Posebni dio'!F147</f>
        <v>200</v>
      </c>
      <c r="I385" s="161">
        <f>'Rekapitulacija Posebni dio'!G147</f>
        <v>300</v>
      </c>
      <c r="J385" s="161">
        <f>'Rekapitulacija Posebni dio'!H147</f>
        <v>400</v>
      </c>
    </row>
    <row r="386" spans="1:10" s="117" customFormat="1" x14ac:dyDescent="0.25">
      <c r="A386" s="213"/>
      <c r="B386" s="181">
        <v>32999</v>
      </c>
      <c r="C386" s="131"/>
      <c r="D386" s="291" t="s">
        <v>141</v>
      </c>
      <c r="E386" s="161">
        <f>'Rekapitulacija Posebni dio'!C148</f>
        <v>0</v>
      </c>
      <c r="F386" s="161">
        <f>'Rekapitulacija Posebni dio'!D148</f>
        <v>0</v>
      </c>
      <c r="G386" s="161">
        <f>'Rekapitulacija Posebni dio'!E148</f>
        <v>5520</v>
      </c>
      <c r="H386" s="161">
        <f>'Rekapitulacija Posebni dio'!F148</f>
        <v>5520</v>
      </c>
      <c r="I386" s="161">
        <f>'Rekapitulacija Posebni dio'!G148</f>
        <v>6520</v>
      </c>
      <c r="J386" s="161">
        <f>'Rekapitulacija Posebni dio'!H148</f>
        <v>7520</v>
      </c>
    </row>
    <row r="387" spans="1:10" s="117" customFormat="1" x14ac:dyDescent="0.25">
      <c r="A387" s="213"/>
      <c r="B387" s="132">
        <v>34</v>
      </c>
      <c r="C387" s="199"/>
      <c r="D387" s="212" t="s">
        <v>150</v>
      </c>
      <c r="E387" s="165">
        <f t="shared" ref="E387:J387" si="228">SUM(E388)</f>
        <v>0</v>
      </c>
      <c r="F387" s="165">
        <f t="shared" si="228"/>
        <v>0</v>
      </c>
      <c r="G387" s="165">
        <f t="shared" si="228"/>
        <v>25075</v>
      </c>
      <c r="H387" s="165">
        <f t="shared" si="228"/>
        <v>25075</v>
      </c>
      <c r="I387" s="165">
        <f t="shared" si="228"/>
        <v>24770</v>
      </c>
      <c r="J387" s="165">
        <f t="shared" si="228"/>
        <v>25065</v>
      </c>
    </row>
    <row r="388" spans="1:10" s="117" customFormat="1" x14ac:dyDescent="0.25">
      <c r="A388" s="213"/>
      <c r="B388" s="171">
        <v>343</v>
      </c>
      <c r="C388" s="149"/>
      <c r="D388" s="223" t="s">
        <v>151</v>
      </c>
      <c r="E388" s="153">
        <f>E389+E392+E397</f>
        <v>0</v>
      </c>
      <c r="F388" s="153">
        <f t="shared" ref="F388:J388" si="229">F389+F392+F397</f>
        <v>0</v>
      </c>
      <c r="G388" s="153">
        <f t="shared" ref="G388" si="230">G389+G392+G397</f>
        <v>25075</v>
      </c>
      <c r="H388" s="153">
        <f t="shared" si="229"/>
        <v>25075</v>
      </c>
      <c r="I388" s="153">
        <f t="shared" si="229"/>
        <v>24770</v>
      </c>
      <c r="J388" s="153">
        <f t="shared" si="229"/>
        <v>25065</v>
      </c>
    </row>
    <row r="389" spans="1:10" s="117" customFormat="1" x14ac:dyDescent="0.25">
      <c r="A389" s="213"/>
      <c r="B389" s="171" t="s">
        <v>152</v>
      </c>
      <c r="C389" s="149"/>
      <c r="D389" s="223" t="s">
        <v>153</v>
      </c>
      <c r="E389" s="153">
        <f>SUM(E390:E391)</f>
        <v>0</v>
      </c>
      <c r="F389" s="153">
        <f t="shared" ref="F389:J389" si="231">SUM(F390:F391)</f>
        <v>0</v>
      </c>
      <c r="G389" s="153">
        <f t="shared" ref="G389" si="232">SUM(G390:G391)</f>
        <v>23500</v>
      </c>
      <c r="H389" s="153">
        <f t="shared" si="231"/>
        <v>23500</v>
      </c>
      <c r="I389" s="153">
        <f t="shared" si="231"/>
        <v>23250</v>
      </c>
      <c r="J389" s="153">
        <f t="shared" si="231"/>
        <v>23500</v>
      </c>
    </row>
    <row r="390" spans="1:10" s="117" customFormat="1" x14ac:dyDescent="0.25">
      <c r="A390" s="213"/>
      <c r="B390" s="174">
        <v>34311</v>
      </c>
      <c r="C390" s="131"/>
      <c r="D390" s="222" t="s">
        <v>623</v>
      </c>
      <c r="E390" s="161">
        <f>'Rekapitulacija Posebni dio'!C152</f>
        <v>0</v>
      </c>
      <c r="F390" s="161">
        <f>'Rekapitulacija Posebni dio'!D152</f>
        <v>0</v>
      </c>
      <c r="G390" s="161">
        <f>'Rekapitulacija Posebni dio'!E152</f>
        <v>13000</v>
      </c>
      <c r="H390" s="161">
        <f>'Rekapitulacija Posebni dio'!F152</f>
        <v>13000</v>
      </c>
      <c r="I390" s="161">
        <f>'Rekapitulacija Posebni dio'!G152</f>
        <v>13000</v>
      </c>
      <c r="J390" s="161">
        <f>'Rekapitulacija Posebni dio'!H152</f>
        <v>13000</v>
      </c>
    </row>
    <row r="391" spans="1:10" s="117" customFormat="1" x14ac:dyDescent="0.25">
      <c r="A391" s="213"/>
      <c r="B391" s="174">
        <v>34312</v>
      </c>
      <c r="C391" s="131"/>
      <c r="D391" s="222" t="s">
        <v>453</v>
      </c>
      <c r="E391" s="161">
        <f>'Rekapitulacija Posebni dio'!C153</f>
        <v>0</v>
      </c>
      <c r="F391" s="161">
        <f>'Rekapitulacija Posebni dio'!D153</f>
        <v>0</v>
      </c>
      <c r="G391" s="161">
        <f>'Rekapitulacija Posebni dio'!E153</f>
        <v>10500</v>
      </c>
      <c r="H391" s="161">
        <f>'Rekapitulacija Posebni dio'!F153</f>
        <v>10500</v>
      </c>
      <c r="I391" s="161">
        <f>'Rekapitulacija Posebni dio'!G153</f>
        <v>10250</v>
      </c>
      <c r="J391" s="161">
        <f>'Rekapitulacija Posebni dio'!H153</f>
        <v>10500</v>
      </c>
    </row>
    <row r="392" spans="1:10" s="117" customFormat="1" x14ac:dyDescent="0.25">
      <c r="A392" s="213"/>
      <c r="B392" s="166">
        <v>3433</v>
      </c>
      <c r="C392" s="149"/>
      <c r="D392" s="227" t="s">
        <v>154</v>
      </c>
      <c r="E392" s="153">
        <f t="shared" ref="E392" si="233">SUM(E393:E396)</f>
        <v>0</v>
      </c>
      <c r="F392" s="153">
        <f t="shared" ref="F392:J392" si="234">SUM(F393:F396)</f>
        <v>0</v>
      </c>
      <c r="G392" s="153">
        <f t="shared" ref="G392" si="235">SUM(G393:G396)</f>
        <v>1575</v>
      </c>
      <c r="H392" s="153">
        <f t="shared" si="234"/>
        <v>1575</v>
      </c>
      <c r="I392" s="153">
        <f t="shared" si="234"/>
        <v>1520</v>
      </c>
      <c r="J392" s="153">
        <f t="shared" si="234"/>
        <v>1565</v>
      </c>
    </row>
    <row r="393" spans="1:10" s="117" customFormat="1" x14ac:dyDescent="0.25">
      <c r="A393" s="213"/>
      <c r="B393" s="290">
        <v>34331</v>
      </c>
      <c r="C393" s="131"/>
      <c r="D393" s="289" t="s">
        <v>454</v>
      </c>
      <c r="E393" s="161">
        <f>'Rekapitulacija Posebni dio'!C156</f>
        <v>0</v>
      </c>
      <c r="F393" s="161">
        <f>'Rekapitulacija Posebni dio'!D156</f>
        <v>0</v>
      </c>
      <c r="G393" s="161">
        <f>'Rekapitulacija Posebni dio'!E156</f>
        <v>25</v>
      </c>
      <c r="H393" s="161">
        <f>'Rekapitulacija Posebni dio'!F156</f>
        <v>25</v>
      </c>
      <c r="I393" s="161">
        <f>'Rekapitulacija Posebni dio'!G156</f>
        <v>30</v>
      </c>
      <c r="J393" s="161">
        <f>'Rekapitulacija Posebni dio'!H156</f>
        <v>35</v>
      </c>
    </row>
    <row r="394" spans="1:10" s="117" customFormat="1" x14ac:dyDescent="0.25">
      <c r="A394" s="213"/>
      <c r="B394" s="290">
        <v>34332</v>
      </c>
      <c r="C394" s="131"/>
      <c r="D394" s="289" t="s">
        <v>455</v>
      </c>
      <c r="E394" s="161">
        <f>'Rekapitulacija Posebni dio'!C157</f>
        <v>0</v>
      </c>
      <c r="F394" s="161">
        <f>'Rekapitulacija Posebni dio'!D157</f>
        <v>0</v>
      </c>
      <c r="G394" s="161">
        <f>'Rekapitulacija Posebni dio'!E157</f>
        <v>350</v>
      </c>
      <c r="H394" s="161">
        <f>'Rekapitulacija Posebni dio'!F157</f>
        <v>350</v>
      </c>
      <c r="I394" s="161">
        <f>'Rekapitulacija Posebni dio'!G157</f>
        <v>350</v>
      </c>
      <c r="J394" s="161">
        <f>'Rekapitulacija Posebni dio'!H157</f>
        <v>350</v>
      </c>
    </row>
    <row r="395" spans="1:10" s="117" customFormat="1" x14ac:dyDescent="0.25">
      <c r="A395" s="213"/>
      <c r="B395" s="290">
        <v>34333</v>
      </c>
      <c r="C395" s="131"/>
      <c r="D395" s="289" t="s">
        <v>456</v>
      </c>
      <c r="E395" s="161">
        <f>'Rekapitulacija Posebni dio'!C158</f>
        <v>0</v>
      </c>
      <c r="F395" s="161">
        <f>'Rekapitulacija Posebni dio'!D158</f>
        <v>0</v>
      </c>
      <c r="G395" s="161">
        <f>'Rekapitulacija Posebni dio'!E158</f>
        <v>600</v>
      </c>
      <c r="H395" s="161">
        <f>'Rekapitulacija Posebni dio'!F158</f>
        <v>600</v>
      </c>
      <c r="I395" s="161">
        <f>'Rekapitulacija Posebni dio'!G158</f>
        <v>515</v>
      </c>
      <c r="J395" s="161">
        <f>'Rekapitulacija Posebni dio'!H158</f>
        <v>530</v>
      </c>
    </row>
    <row r="396" spans="1:10" s="117" customFormat="1" x14ac:dyDescent="0.25">
      <c r="A396" s="213"/>
      <c r="B396" s="292">
        <v>34339</v>
      </c>
      <c r="C396" s="131"/>
      <c r="D396" s="291" t="s">
        <v>457</v>
      </c>
      <c r="E396" s="161">
        <f>'Rekapitulacija Posebni dio'!C159</f>
        <v>0</v>
      </c>
      <c r="F396" s="161">
        <f>'Rekapitulacija Posebni dio'!D159</f>
        <v>0</v>
      </c>
      <c r="G396" s="161">
        <f>'Rekapitulacija Posebni dio'!E159</f>
        <v>600</v>
      </c>
      <c r="H396" s="161">
        <f>'Rekapitulacija Posebni dio'!F159</f>
        <v>600</v>
      </c>
      <c r="I396" s="161">
        <f>'Rekapitulacija Posebni dio'!G159</f>
        <v>625</v>
      </c>
      <c r="J396" s="161">
        <f>'Rekapitulacija Posebni dio'!H159</f>
        <v>650</v>
      </c>
    </row>
    <row r="397" spans="1:10" s="117" customFormat="1" hidden="1" x14ac:dyDescent="0.25">
      <c r="A397" s="213"/>
      <c r="B397" s="166">
        <v>3434</v>
      </c>
      <c r="C397" s="149"/>
      <c r="D397" s="227" t="s">
        <v>155</v>
      </c>
      <c r="E397" s="153">
        <f>E398</f>
        <v>0</v>
      </c>
      <c r="F397" s="153">
        <f t="shared" ref="F397:J397" si="236">F398</f>
        <v>0</v>
      </c>
      <c r="G397" s="153"/>
      <c r="H397" s="153">
        <f t="shared" si="236"/>
        <v>0</v>
      </c>
      <c r="I397" s="153">
        <f t="shared" si="236"/>
        <v>0</v>
      </c>
      <c r="J397" s="153">
        <f t="shared" si="236"/>
        <v>0</v>
      </c>
    </row>
    <row r="398" spans="1:10" s="117" customFormat="1" hidden="1" x14ac:dyDescent="0.25">
      <c r="A398" s="213"/>
      <c r="B398" s="181">
        <v>34349</v>
      </c>
      <c r="C398" s="131"/>
      <c r="D398" s="224" t="s">
        <v>297</v>
      </c>
      <c r="E398" s="161">
        <f>'Rekapitulacija Posebni dio'!C161</f>
        <v>0</v>
      </c>
      <c r="F398" s="161">
        <f>'Rekapitulacija Posebni dio'!D161</f>
        <v>0</v>
      </c>
      <c r="G398" s="161"/>
      <c r="H398" s="161">
        <f>'Rekapitulacija Posebni dio'!F161</f>
        <v>0</v>
      </c>
      <c r="I398" s="161">
        <f>'Rekapitulacija Posebni dio'!G161</f>
        <v>0</v>
      </c>
      <c r="J398" s="161">
        <f>'Rekapitulacija Posebni dio'!H161</f>
        <v>0</v>
      </c>
    </row>
    <row r="399" spans="1:10" s="117" customFormat="1" hidden="1" x14ac:dyDescent="0.25">
      <c r="A399" s="213"/>
      <c r="B399" s="162">
        <v>36</v>
      </c>
      <c r="C399" s="225"/>
      <c r="D399" s="226" t="s">
        <v>156</v>
      </c>
      <c r="E399" s="165">
        <f t="shared" ref="E399:J399" si="237">E400</f>
        <v>0</v>
      </c>
      <c r="F399" s="165">
        <f t="shared" si="237"/>
        <v>0</v>
      </c>
      <c r="G399" s="165"/>
      <c r="H399" s="165">
        <f t="shared" si="237"/>
        <v>0</v>
      </c>
      <c r="I399" s="165">
        <f t="shared" si="237"/>
        <v>0</v>
      </c>
      <c r="J399" s="165">
        <f t="shared" si="237"/>
        <v>0</v>
      </c>
    </row>
    <row r="400" spans="1:10" s="117" customFormat="1" hidden="1" x14ac:dyDescent="0.25">
      <c r="A400" s="213"/>
      <c r="B400" s="166">
        <v>369</v>
      </c>
      <c r="C400" s="149"/>
      <c r="D400" s="227" t="s">
        <v>38</v>
      </c>
      <c r="E400" s="153">
        <f t="shared" ref="E400" si="238">SUM(E402,E401)</f>
        <v>0</v>
      </c>
      <c r="F400" s="153">
        <f t="shared" ref="F400:J400" si="239">SUM(F402,F401)</f>
        <v>0</v>
      </c>
      <c r="G400" s="153"/>
      <c r="H400" s="153">
        <f t="shared" si="239"/>
        <v>0</v>
      </c>
      <c r="I400" s="153">
        <f t="shared" si="239"/>
        <v>0</v>
      </c>
      <c r="J400" s="153">
        <f t="shared" si="239"/>
        <v>0</v>
      </c>
    </row>
    <row r="401" spans="1:10" s="117" customFormat="1" hidden="1" x14ac:dyDescent="0.25">
      <c r="A401" s="213"/>
      <c r="B401" s="166">
        <v>3691</v>
      </c>
      <c r="C401" s="149"/>
      <c r="D401" s="227" t="s">
        <v>157</v>
      </c>
      <c r="E401" s="161"/>
      <c r="F401" s="161"/>
      <c r="G401" s="161"/>
      <c r="H401" s="161"/>
      <c r="I401" s="161"/>
      <c r="J401" s="161"/>
    </row>
    <row r="402" spans="1:10" s="117" customFormat="1" hidden="1" x14ac:dyDescent="0.25">
      <c r="A402" s="213"/>
      <c r="B402" s="166">
        <v>3692</v>
      </c>
      <c r="C402" s="149"/>
      <c r="D402" s="227" t="s">
        <v>158</v>
      </c>
      <c r="E402" s="161"/>
      <c r="F402" s="161"/>
      <c r="G402" s="161"/>
      <c r="H402" s="161"/>
      <c r="I402" s="161"/>
      <c r="J402" s="161"/>
    </row>
    <row r="403" spans="1:10" s="117" customFormat="1" x14ac:dyDescent="0.25">
      <c r="A403" s="213"/>
      <c r="B403" s="162">
        <v>37</v>
      </c>
      <c r="C403" s="225"/>
      <c r="D403" s="293" t="s">
        <v>159</v>
      </c>
      <c r="E403" s="165">
        <f t="shared" ref="E403:J404" si="240">SUM(E404)</f>
        <v>0</v>
      </c>
      <c r="F403" s="165">
        <f t="shared" si="240"/>
        <v>0</v>
      </c>
      <c r="G403" s="165">
        <f t="shared" si="240"/>
        <v>1500</v>
      </c>
      <c r="H403" s="165">
        <f t="shared" si="240"/>
        <v>1500</v>
      </c>
      <c r="I403" s="165">
        <f t="shared" si="240"/>
        <v>1500</v>
      </c>
      <c r="J403" s="165">
        <f t="shared" si="240"/>
        <v>1500</v>
      </c>
    </row>
    <row r="404" spans="1:10" s="117" customFormat="1" x14ac:dyDescent="0.25">
      <c r="A404" s="213"/>
      <c r="B404" s="166">
        <v>372</v>
      </c>
      <c r="C404" s="149"/>
      <c r="D404" s="294" t="s">
        <v>160</v>
      </c>
      <c r="E404" s="153">
        <f t="shared" si="240"/>
        <v>0</v>
      </c>
      <c r="F404" s="153">
        <f t="shared" si="240"/>
        <v>0</v>
      </c>
      <c r="G404" s="153">
        <f t="shared" si="240"/>
        <v>1500</v>
      </c>
      <c r="H404" s="153">
        <f t="shared" si="240"/>
        <v>1500</v>
      </c>
      <c r="I404" s="153">
        <f t="shared" si="240"/>
        <v>1500</v>
      </c>
      <c r="J404" s="153">
        <f t="shared" si="240"/>
        <v>1500</v>
      </c>
    </row>
    <row r="405" spans="1:10" s="117" customFormat="1" x14ac:dyDescent="0.25">
      <c r="A405" s="213"/>
      <c r="B405" s="166">
        <v>3721</v>
      </c>
      <c r="C405" s="149"/>
      <c r="D405" s="294" t="s">
        <v>161</v>
      </c>
      <c r="E405" s="153">
        <f t="shared" ref="E405" si="241">SUM(E406:E407)</f>
        <v>0</v>
      </c>
      <c r="F405" s="153">
        <f t="shared" ref="F405:J405" si="242">SUM(F406:F407)</f>
        <v>0</v>
      </c>
      <c r="G405" s="153">
        <f t="shared" ref="G405" si="243">SUM(G406:G407)</f>
        <v>1500</v>
      </c>
      <c r="H405" s="153">
        <f t="shared" si="242"/>
        <v>1500</v>
      </c>
      <c r="I405" s="153">
        <f t="shared" si="242"/>
        <v>1500</v>
      </c>
      <c r="J405" s="153">
        <f t="shared" si="242"/>
        <v>1500</v>
      </c>
    </row>
    <row r="406" spans="1:10" s="117" customFormat="1" x14ac:dyDescent="0.25">
      <c r="A406" s="213"/>
      <c r="B406" s="292">
        <v>37212</v>
      </c>
      <c r="C406" s="149"/>
      <c r="D406" s="291" t="s">
        <v>507</v>
      </c>
      <c r="E406" s="161">
        <f>'Rekapitulacija Posebni dio'!C168</f>
        <v>0</v>
      </c>
      <c r="F406" s="161">
        <f>'Rekapitulacija Posebni dio'!D168</f>
        <v>0</v>
      </c>
      <c r="G406" s="161">
        <f>'Rekapitulacija Posebni dio'!E168</f>
        <v>1000</v>
      </c>
      <c r="H406" s="161">
        <f>'Rekapitulacija Posebni dio'!F168</f>
        <v>1000</v>
      </c>
      <c r="I406" s="161">
        <f>'Rekapitulacija Posebni dio'!G168</f>
        <v>1000</v>
      </c>
      <c r="J406" s="161">
        <f>'Rekapitulacija Posebni dio'!H168</f>
        <v>1000</v>
      </c>
    </row>
    <row r="407" spans="1:10" s="117" customFormat="1" x14ac:dyDescent="0.25">
      <c r="A407" s="213"/>
      <c r="B407" s="292">
        <v>37215</v>
      </c>
      <c r="C407" s="131"/>
      <c r="D407" s="291" t="s">
        <v>459</v>
      </c>
      <c r="E407" s="161">
        <f>'Rekapitulacija Posebni dio'!C169</f>
        <v>0</v>
      </c>
      <c r="F407" s="161">
        <f>'Rekapitulacija Posebni dio'!D169</f>
        <v>0</v>
      </c>
      <c r="G407" s="161">
        <f>'Rekapitulacija Posebni dio'!E169</f>
        <v>500</v>
      </c>
      <c r="H407" s="161">
        <f>'Rekapitulacija Posebni dio'!F169</f>
        <v>500</v>
      </c>
      <c r="I407" s="161">
        <f>'Rekapitulacija Posebni dio'!G169</f>
        <v>500</v>
      </c>
      <c r="J407" s="161">
        <f>'Rekapitulacija Posebni dio'!H169</f>
        <v>500</v>
      </c>
    </row>
    <row r="408" spans="1:10" s="117" customFormat="1" x14ac:dyDescent="0.25">
      <c r="A408" s="213"/>
      <c r="B408" s="132" t="s">
        <v>162</v>
      </c>
      <c r="C408" s="199"/>
      <c r="D408" s="212" t="s">
        <v>95</v>
      </c>
      <c r="E408" s="165">
        <f t="shared" ref="E408" si="244">E411+E409+E417</f>
        <v>0</v>
      </c>
      <c r="F408" s="165">
        <f t="shared" ref="F408:J408" si="245">F411+F409+F417</f>
        <v>0</v>
      </c>
      <c r="G408" s="165">
        <f t="shared" ref="G408" si="246">G411+G409+G417</f>
        <v>2000</v>
      </c>
      <c r="H408" s="165">
        <f t="shared" si="245"/>
        <v>2000</v>
      </c>
      <c r="I408" s="165">
        <f t="shared" si="245"/>
        <v>500</v>
      </c>
      <c r="J408" s="165">
        <f t="shared" si="245"/>
        <v>500</v>
      </c>
    </row>
    <row r="409" spans="1:10" s="117" customFormat="1" hidden="1" x14ac:dyDescent="0.25">
      <c r="A409" s="213"/>
      <c r="B409" s="150" t="s">
        <v>163</v>
      </c>
      <c r="C409" s="188"/>
      <c r="D409" s="228" t="s">
        <v>164</v>
      </c>
      <c r="E409" s="153">
        <f t="shared" ref="E409:J409" si="247">E410</f>
        <v>0</v>
      </c>
      <c r="F409" s="153">
        <f t="shared" si="247"/>
        <v>0</v>
      </c>
      <c r="G409" s="153"/>
      <c r="H409" s="153">
        <f t="shared" si="247"/>
        <v>0</v>
      </c>
      <c r="I409" s="153">
        <f t="shared" si="247"/>
        <v>0</v>
      </c>
      <c r="J409" s="153">
        <f t="shared" si="247"/>
        <v>0</v>
      </c>
    </row>
    <row r="410" spans="1:10" s="117" customFormat="1" hidden="1" x14ac:dyDescent="0.25">
      <c r="A410" s="213"/>
      <c r="B410" s="150" t="s">
        <v>165</v>
      </c>
      <c r="C410" s="188"/>
      <c r="D410" s="228" t="s">
        <v>164</v>
      </c>
      <c r="E410" s="161"/>
      <c r="F410" s="161"/>
      <c r="G410" s="161"/>
      <c r="H410" s="161"/>
      <c r="I410" s="161"/>
      <c r="J410" s="161"/>
    </row>
    <row r="411" spans="1:10" s="117" customFormat="1" x14ac:dyDescent="0.25">
      <c r="A411" s="213"/>
      <c r="B411" s="166">
        <v>383</v>
      </c>
      <c r="C411" s="149"/>
      <c r="D411" s="227" t="s">
        <v>166</v>
      </c>
      <c r="E411" s="153">
        <f t="shared" ref="E411" si="248">E412+E413+E414+E416</f>
        <v>0</v>
      </c>
      <c r="F411" s="153">
        <f t="shared" ref="F411:J411" si="249">F412+F413+F414+F416</f>
        <v>0</v>
      </c>
      <c r="G411" s="153">
        <f t="shared" si="249"/>
        <v>2000</v>
      </c>
      <c r="H411" s="153">
        <f t="shared" si="249"/>
        <v>2000</v>
      </c>
      <c r="I411" s="153">
        <f t="shared" si="249"/>
        <v>500</v>
      </c>
      <c r="J411" s="153">
        <f t="shared" si="249"/>
        <v>500</v>
      </c>
    </row>
    <row r="412" spans="1:10" s="117" customFormat="1" hidden="1" x14ac:dyDescent="0.25">
      <c r="A412" s="213"/>
      <c r="B412" s="166">
        <v>3831</v>
      </c>
      <c r="C412" s="149"/>
      <c r="D412" s="227" t="s">
        <v>167</v>
      </c>
      <c r="E412" s="161"/>
      <c r="F412" s="161"/>
      <c r="G412" s="161"/>
      <c r="H412" s="161"/>
      <c r="I412" s="161"/>
      <c r="J412" s="161"/>
    </row>
    <row r="413" spans="1:10" s="117" customFormat="1" hidden="1" x14ac:dyDescent="0.25">
      <c r="A413" s="213"/>
      <c r="B413" s="166">
        <v>3833</v>
      </c>
      <c r="C413" s="149"/>
      <c r="D413" s="227" t="s">
        <v>168</v>
      </c>
      <c r="E413" s="161"/>
      <c r="F413" s="161"/>
      <c r="G413" s="161"/>
      <c r="H413" s="161"/>
      <c r="I413" s="161"/>
      <c r="J413" s="161"/>
    </row>
    <row r="414" spans="1:10" s="117" customFormat="1" x14ac:dyDescent="0.25">
      <c r="A414" s="213"/>
      <c r="B414" s="166">
        <v>3834</v>
      </c>
      <c r="C414" s="149"/>
      <c r="D414" s="227" t="s">
        <v>169</v>
      </c>
      <c r="E414" s="153">
        <f t="shared" ref="E414:J414" si="250">SUM(E415)</f>
        <v>0</v>
      </c>
      <c r="F414" s="153">
        <f t="shared" si="250"/>
        <v>0</v>
      </c>
      <c r="G414" s="153">
        <f t="shared" si="250"/>
        <v>2000</v>
      </c>
      <c r="H414" s="153">
        <f t="shared" si="250"/>
        <v>2000</v>
      </c>
      <c r="I414" s="153">
        <f t="shared" si="250"/>
        <v>500</v>
      </c>
      <c r="J414" s="153">
        <f t="shared" si="250"/>
        <v>500</v>
      </c>
    </row>
    <row r="415" spans="1:10" s="117" customFormat="1" x14ac:dyDescent="0.25">
      <c r="A415" s="213"/>
      <c r="B415" s="181">
        <v>38341</v>
      </c>
      <c r="C415" s="131"/>
      <c r="D415" s="224" t="s">
        <v>169</v>
      </c>
      <c r="E415" s="161">
        <f>'Rekapitulacija Posebni dio'!C177</f>
        <v>0</v>
      </c>
      <c r="F415" s="161">
        <f>'Rekapitulacija Posebni dio'!D177</f>
        <v>0</v>
      </c>
      <c r="G415" s="161">
        <f>'Rekapitulacija Posebni dio'!E177</f>
        <v>2000</v>
      </c>
      <c r="H415" s="161">
        <f>'Rekapitulacija Posebni dio'!F177</f>
        <v>2000</v>
      </c>
      <c r="I415" s="161">
        <f>'Rekapitulacija Posebni dio'!G177</f>
        <v>500</v>
      </c>
      <c r="J415" s="161">
        <f>'Rekapitulacija Posebni dio'!H177</f>
        <v>500</v>
      </c>
    </row>
    <row r="416" spans="1:10" s="117" customFormat="1" hidden="1" x14ac:dyDescent="0.25">
      <c r="A416" s="213"/>
      <c r="B416" s="166">
        <v>3835</v>
      </c>
      <c r="C416" s="149"/>
      <c r="D416" s="227" t="s">
        <v>170</v>
      </c>
      <c r="E416" s="161"/>
      <c r="F416" s="161"/>
      <c r="G416" s="161"/>
      <c r="H416" s="161"/>
      <c r="I416" s="161"/>
      <c r="J416" s="161"/>
    </row>
    <row r="417" spans="1:10" s="117" customFormat="1" hidden="1" x14ac:dyDescent="0.25">
      <c r="A417" s="213"/>
      <c r="B417" s="295">
        <v>385</v>
      </c>
      <c r="C417" s="296"/>
      <c r="D417" s="296" t="s">
        <v>304</v>
      </c>
      <c r="E417" s="153">
        <f t="shared" ref="E417:J417" si="251">E418</f>
        <v>0</v>
      </c>
      <c r="F417" s="153">
        <f t="shared" si="251"/>
        <v>0</v>
      </c>
      <c r="G417" s="153"/>
      <c r="H417" s="153">
        <f t="shared" si="251"/>
        <v>0</v>
      </c>
      <c r="I417" s="153">
        <f t="shared" si="251"/>
        <v>0</v>
      </c>
      <c r="J417" s="153">
        <f t="shared" si="251"/>
        <v>0</v>
      </c>
    </row>
    <row r="418" spans="1:10" s="117" customFormat="1" hidden="1" x14ac:dyDescent="0.25">
      <c r="A418" s="213"/>
      <c r="B418" s="295">
        <v>3859</v>
      </c>
      <c r="C418" s="296"/>
      <c r="D418" s="296" t="s">
        <v>304</v>
      </c>
      <c r="E418" s="161"/>
      <c r="F418" s="161"/>
      <c r="G418" s="161"/>
      <c r="H418" s="161"/>
      <c r="I418" s="161"/>
      <c r="J418" s="161"/>
    </row>
    <row r="419" spans="1:10" s="117" customFormat="1" x14ac:dyDescent="0.25">
      <c r="A419" s="230">
        <v>4</v>
      </c>
      <c r="B419" s="231"/>
      <c r="C419" s="232"/>
      <c r="D419" s="233" t="s">
        <v>171</v>
      </c>
      <c r="E419" s="198">
        <f t="shared" ref="E419" si="252">E420+E425+E447</f>
        <v>0</v>
      </c>
      <c r="F419" s="198">
        <f t="shared" ref="F419:J419" si="253">F420+F425+F447</f>
        <v>0</v>
      </c>
      <c r="G419" s="198">
        <f t="shared" si="253"/>
        <v>85372.28</v>
      </c>
      <c r="H419" s="198">
        <f t="shared" si="253"/>
        <v>85372.28</v>
      </c>
      <c r="I419" s="198">
        <f t="shared" si="253"/>
        <v>88322.28</v>
      </c>
      <c r="J419" s="198">
        <f t="shared" si="253"/>
        <v>91272.28</v>
      </c>
    </row>
    <row r="420" spans="1:10" s="117" customFormat="1" hidden="1" x14ac:dyDescent="0.25">
      <c r="A420" s="155"/>
      <c r="B420" s="132" t="s">
        <v>172</v>
      </c>
      <c r="C420" s="199"/>
      <c r="D420" s="234" t="s">
        <v>173</v>
      </c>
      <c r="E420" s="165">
        <f t="shared" ref="E420" si="254">SUM(E423)</f>
        <v>0</v>
      </c>
      <c r="F420" s="165">
        <f t="shared" ref="F420:J420" si="255">SUM(F423)</f>
        <v>0</v>
      </c>
      <c r="G420" s="165"/>
      <c r="H420" s="165">
        <f t="shared" si="255"/>
        <v>0</v>
      </c>
      <c r="I420" s="165">
        <f t="shared" si="255"/>
        <v>0</v>
      </c>
      <c r="J420" s="165">
        <f t="shared" si="255"/>
        <v>0</v>
      </c>
    </row>
    <row r="421" spans="1:10" s="117" customFormat="1" hidden="1" x14ac:dyDescent="0.25">
      <c r="A421" s="155"/>
      <c r="B421" s="150" t="s">
        <v>174</v>
      </c>
      <c r="C421" s="188"/>
      <c r="D421" s="235" t="s">
        <v>175</v>
      </c>
      <c r="E421" s="153">
        <f t="shared" ref="E421:J421" si="256">SUM(E422)</f>
        <v>0</v>
      </c>
      <c r="F421" s="153">
        <f t="shared" si="256"/>
        <v>0</v>
      </c>
      <c r="G421" s="153"/>
      <c r="H421" s="153">
        <f t="shared" si="256"/>
        <v>0</v>
      </c>
      <c r="I421" s="153">
        <f t="shared" si="256"/>
        <v>0</v>
      </c>
      <c r="J421" s="153">
        <f t="shared" si="256"/>
        <v>0</v>
      </c>
    </row>
    <row r="422" spans="1:10" s="117" customFormat="1" hidden="1" x14ac:dyDescent="0.25">
      <c r="A422" s="155"/>
      <c r="B422" s="150" t="s">
        <v>176</v>
      </c>
      <c r="C422" s="188"/>
      <c r="D422" s="235" t="s">
        <v>177</v>
      </c>
      <c r="E422" s="153"/>
      <c r="F422" s="153"/>
      <c r="G422" s="153"/>
      <c r="H422" s="153"/>
      <c r="I422" s="153"/>
      <c r="J422" s="153"/>
    </row>
    <row r="423" spans="1:10" s="117" customFormat="1" hidden="1" x14ac:dyDescent="0.25">
      <c r="A423" s="155"/>
      <c r="B423" s="171">
        <v>412</v>
      </c>
      <c r="C423" s="154"/>
      <c r="D423" s="236" t="s">
        <v>178</v>
      </c>
      <c r="E423" s="153">
        <f t="shared" ref="E423:J423" si="257">SUM(E424)</f>
        <v>0</v>
      </c>
      <c r="F423" s="153">
        <f t="shared" si="257"/>
        <v>0</v>
      </c>
      <c r="G423" s="153"/>
      <c r="H423" s="153">
        <f t="shared" si="257"/>
        <v>0</v>
      </c>
      <c r="I423" s="153">
        <f t="shared" si="257"/>
        <v>0</v>
      </c>
      <c r="J423" s="153">
        <f t="shared" si="257"/>
        <v>0</v>
      </c>
    </row>
    <row r="424" spans="1:10" s="117" customFormat="1" hidden="1" x14ac:dyDescent="0.25">
      <c r="A424" s="177"/>
      <c r="B424" s="171">
        <v>4123</v>
      </c>
      <c r="C424" s="154"/>
      <c r="D424" s="236" t="s">
        <v>179</v>
      </c>
      <c r="E424" s="153"/>
      <c r="F424" s="153"/>
      <c r="G424" s="153"/>
      <c r="H424" s="153"/>
      <c r="I424" s="153"/>
      <c r="J424" s="153"/>
    </row>
    <row r="425" spans="1:10" s="117" customFormat="1" x14ac:dyDescent="0.25">
      <c r="A425" s="213"/>
      <c r="B425" s="132">
        <v>42</v>
      </c>
      <c r="C425" s="199"/>
      <c r="D425" s="212" t="s">
        <v>180</v>
      </c>
      <c r="E425" s="165">
        <f t="shared" ref="E425" si="258">SUM(E426,E442,E445)</f>
        <v>0</v>
      </c>
      <c r="F425" s="165">
        <f t="shared" ref="F425:J425" si="259">SUM(F426,F442,F445)</f>
        <v>0</v>
      </c>
      <c r="G425" s="165">
        <f t="shared" ref="G425" si="260">SUM(G426,G442,G445)</f>
        <v>75372.28</v>
      </c>
      <c r="H425" s="165">
        <f t="shared" si="259"/>
        <v>75372.28</v>
      </c>
      <c r="I425" s="165">
        <f t="shared" si="259"/>
        <v>78322.28</v>
      </c>
      <c r="J425" s="165">
        <f t="shared" si="259"/>
        <v>81272.28</v>
      </c>
    </row>
    <row r="426" spans="1:10" s="117" customFormat="1" x14ac:dyDescent="0.25">
      <c r="A426" s="213"/>
      <c r="B426" s="150">
        <v>422</v>
      </c>
      <c r="C426" s="213"/>
      <c r="D426" s="188" t="s">
        <v>181</v>
      </c>
      <c r="E426" s="153">
        <f t="shared" ref="E426" si="261">E427+E432+E435+E438+E440</f>
        <v>0</v>
      </c>
      <c r="F426" s="153">
        <f t="shared" ref="F426:J426" si="262">F427+F432+F435+F438+F440</f>
        <v>0</v>
      </c>
      <c r="G426" s="153">
        <f t="shared" ref="G426" si="263">G427+G432+G435+G438+G440</f>
        <v>68650</v>
      </c>
      <c r="H426" s="153">
        <f t="shared" si="262"/>
        <v>68650</v>
      </c>
      <c r="I426" s="153">
        <f t="shared" si="262"/>
        <v>71600</v>
      </c>
      <c r="J426" s="153">
        <f t="shared" si="262"/>
        <v>74550</v>
      </c>
    </row>
    <row r="427" spans="1:10" s="117" customFormat="1" x14ac:dyDescent="0.25">
      <c r="A427" s="213"/>
      <c r="B427" s="150" t="s">
        <v>182</v>
      </c>
      <c r="C427" s="188"/>
      <c r="D427" s="188" t="s">
        <v>183</v>
      </c>
      <c r="E427" s="153">
        <f t="shared" ref="E427" si="264">SUM(E428:E430)</f>
        <v>0</v>
      </c>
      <c r="F427" s="153">
        <f t="shared" ref="F427:J427" si="265">SUM(F428:F430)</f>
        <v>0</v>
      </c>
      <c r="G427" s="153">
        <f t="shared" ref="G427" si="266">SUM(G428:G430)</f>
        <v>7800</v>
      </c>
      <c r="H427" s="153">
        <f t="shared" si="265"/>
        <v>7800</v>
      </c>
      <c r="I427" s="153">
        <f t="shared" si="265"/>
        <v>7800</v>
      </c>
      <c r="J427" s="153">
        <f t="shared" si="265"/>
        <v>7800</v>
      </c>
    </row>
    <row r="428" spans="1:10" s="117" customFormat="1" x14ac:dyDescent="0.25">
      <c r="A428" s="213"/>
      <c r="B428" s="214">
        <v>42211</v>
      </c>
      <c r="C428" s="188"/>
      <c r="D428" s="213" t="s">
        <v>460</v>
      </c>
      <c r="E428" s="161">
        <f>'Rekapitulacija Posebni dio'!C191</f>
        <v>0</v>
      </c>
      <c r="F428" s="161">
        <f>'Rekapitulacija Posebni dio'!D191</f>
        <v>0</v>
      </c>
      <c r="G428" s="161">
        <f>'Rekapitulacija Posebni dio'!E191</f>
        <v>1000</v>
      </c>
      <c r="H428" s="161">
        <f>'Rekapitulacija Posebni dio'!F191</f>
        <v>1000</v>
      </c>
      <c r="I428" s="161">
        <f>'Rekapitulacija Posebni dio'!G191</f>
        <v>1000</v>
      </c>
      <c r="J428" s="161">
        <f>'Rekapitulacija Posebni dio'!H191</f>
        <v>1000</v>
      </c>
    </row>
    <row r="429" spans="1:10" s="117" customFormat="1" x14ac:dyDescent="0.25">
      <c r="A429" s="213"/>
      <c r="B429" s="214">
        <v>42212</v>
      </c>
      <c r="C429" s="188"/>
      <c r="D429" s="213" t="s">
        <v>461</v>
      </c>
      <c r="E429" s="161">
        <f>'Rekapitulacija Posebni dio'!C192</f>
        <v>0</v>
      </c>
      <c r="F429" s="161">
        <f>'Rekapitulacija Posebni dio'!D192</f>
        <v>0</v>
      </c>
      <c r="G429" s="161">
        <f>'Rekapitulacija Posebni dio'!E192</f>
        <v>6000</v>
      </c>
      <c r="H429" s="161">
        <f>'Rekapitulacija Posebni dio'!F192</f>
        <v>6000</v>
      </c>
      <c r="I429" s="161">
        <f>'Rekapitulacija Posebni dio'!G192</f>
        <v>6000</v>
      </c>
      <c r="J429" s="161">
        <f>'Rekapitulacija Posebni dio'!H192</f>
        <v>6000</v>
      </c>
    </row>
    <row r="430" spans="1:10" s="117" customFormat="1" x14ac:dyDescent="0.25">
      <c r="A430" s="213"/>
      <c r="B430" s="214" t="s">
        <v>545</v>
      </c>
      <c r="C430" s="213"/>
      <c r="D430" s="213" t="s">
        <v>462</v>
      </c>
      <c r="E430" s="161">
        <f>'Rekapitulacija Posebni dio'!C193</f>
        <v>0</v>
      </c>
      <c r="F430" s="161">
        <f>'Rekapitulacija Posebni dio'!D193</f>
        <v>0</v>
      </c>
      <c r="G430" s="161">
        <f>'Rekapitulacija Posebni dio'!E193</f>
        <v>800</v>
      </c>
      <c r="H430" s="161">
        <f>'Rekapitulacija Posebni dio'!F193</f>
        <v>800</v>
      </c>
      <c r="I430" s="161">
        <f>'Rekapitulacija Posebni dio'!G193</f>
        <v>800</v>
      </c>
      <c r="J430" s="161">
        <f>'Rekapitulacija Posebni dio'!H193</f>
        <v>800</v>
      </c>
    </row>
    <row r="431" spans="1:10" s="117" customFormat="1" hidden="1" x14ac:dyDescent="0.25">
      <c r="A431" s="213"/>
      <c r="B431" s="150" t="s">
        <v>184</v>
      </c>
      <c r="C431" s="188"/>
      <c r="D431" s="188" t="s">
        <v>185</v>
      </c>
      <c r="E431" s="153"/>
      <c r="F431" s="153"/>
      <c r="G431" s="153"/>
      <c r="H431" s="153"/>
      <c r="I431" s="153"/>
      <c r="J431" s="153"/>
    </row>
    <row r="432" spans="1:10" s="117" customFormat="1" x14ac:dyDescent="0.25">
      <c r="A432" s="213"/>
      <c r="B432" s="171">
        <v>4223</v>
      </c>
      <c r="C432" s="154"/>
      <c r="D432" s="236" t="s">
        <v>186</v>
      </c>
      <c r="E432" s="153">
        <f t="shared" ref="E432" si="267">SUM(E433:E434)</f>
        <v>0</v>
      </c>
      <c r="F432" s="153">
        <f t="shared" ref="F432:J432" si="268">SUM(F433:F434)</f>
        <v>0</v>
      </c>
      <c r="G432" s="153">
        <f t="shared" ref="G432" si="269">SUM(G433:G434)</f>
        <v>7350</v>
      </c>
      <c r="H432" s="153">
        <f t="shared" si="268"/>
        <v>7350</v>
      </c>
      <c r="I432" s="153">
        <f t="shared" si="268"/>
        <v>7850</v>
      </c>
      <c r="J432" s="153">
        <f t="shared" si="268"/>
        <v>8350</v>
      </c>
    </row>
    <row r="433" spans="1:10" s="117" customFormat="1" x14ac:dyDescent="0.25">
      <c r="A433" s="213"/>
      <c r="B433" s="214" t="s">
        <v>523</v>
      </c>
      <c r="C433" s="213"/>
      <c r="D433" s="286" t="s">
        <v>464</v>
      </c>
      <c r="E433" s="161">
        <f>'Rekapitulacija Posebni dio'!C196</f>
        <v>0</v>
      </c>
      <c r="F433" s="161">
        <f>'Rekapitulacija Posebni dio'!D196</f>
        <v>0</v>
      </c>
      <c r="G433" s="161">
        <f>'Rekapitulacija Posebni dio'!E196</f>
        <v>7000</v>
      </c>
      <c r="H433" s="161">
        <f>'Rekapitulacija Posebni dio'!F196</f>
        <v>7000</v>
      </c>
      <c r="I433" s="161">
        <f>'Rekapitulacija Posebni dio'!G196</f>
        <v>7500</v>
      </c>
      <c r="J433" s="161">
        <f>'Rekapitulacija Posebni dio'!H196</f>
        <v>8000</v>
      </c>
    </row>
    <row r="434" spans="1:10" s="117" customFormat="1" x14ac:dyDescent="0.25">
      <c r="A434" s="177"/>
      <c r="B434" s="174">
        <v>42232</v>
      </c>
      <c r="C434" s="158"/>
      <c r="D434" s="297" t="s">
        <v>463</v>
      </c>
      <c r="E434" s="161">
        <f>'Rekapitulacija Posebni dio'!C197</f>
        <v>0</v>
      </c>
      <c r="F434" s="161">
        <f>'Rekapitulacija Posebni dio'!D197</f>
        <v>0</v>
      </c>
      <c r="G434" s="161">
        <f>'Rekapitulacija Posebni dio'!E197</f>
        <v>350</v>
      </c>
      <c r="H434" s="161">
        <f>'Rekapitulacija Posebni dio'!F197</f>
        <v>350</v>
      </c>
      <c r="I434" s="161">
        <f>'Rekapitulacija Posebni dio'!G197</f>
        <v>350</v>
      </c>
      <c r="J434" s="161">
        <f>'Rekapitulacija Posebni dio'!H197</f>
        <v>350</v>
      </c>
    </row>
    <row r="435" spans="1:10" s="117" customFormat="1" x14ac:dyDescent="0.25">
      <c r="A435" s="177"/>
      <c r="B435" s="171">
        <v>4224</v>
      </c>
      <c r="C435" s="154"/>
      <c r="D435" s="236" t="s">
        <v>187</v>
      </c>
      <c r="E435" s="153">
        <f t="shared" ref="E435" si="270">SUM(E436:E437)</f>
        <v>0</v>
      </c>
      <c r="F435" s="153">
        <f t="shared" ref="F435:J435" si="271">SUM(F436:F437)</f>
        <v>0</v>
      </c>
      <c r="G435" s="153">
        <f t="shared" ref="G435" si="272">SUM(G436:G437)</f>
        <v>46500</v>
      </c>
      <c r="H435" s="153">
        <f t="shared" si="271"/>
        <v>46500</v>
      </c>
      <c r="I435" s="153">
        <f t="shared" si="271"/>
        <v>48600</v>
      </c>
      <c r="J435" s="153">
        <f t="shared" si="271"/>
        <v>50700</v>
      </c>
    </row>
    <row r="436" spans="1:10" s="117" customFormat="1" x14ac:dyDescent="0.25">
      <c r="A436" s="177"/>
      <c r="B436" s="174">
        <v>42241</v>
      </c>
      <c r="C436" s="158"/>
      <c r="D436" s="237" t="s">
        <v>465</v>
      </c>
      <c r="E436" s="161">
        <f>'Rekapitulacija Posebni dio'!C199</f>
        <v>0</v>
      </c>
      <c r="F436" s="161">
        <f>'Rekapitulacija Posebni dio'!D199</f>
        <v>0</v>
      </c>
      <c r="G436" s="161">
        <f>'Rekapitulacija Posebni dio'!E199</f>
        <v>45000</v>
      </c>
      <c r="H436" s="161">
        <f>'Rekapitulacija Posebni dio'!F199</f>
        <v>45000</v>
      </c>
      <c r="I436" s="161">
        <f>'Rekapitulacija Posebni dio'!G199</f>
        <v>47000</v>
      </c>
      <c r="J436" s="161">
        <f>'Rekapitulacija Posebni dio'!H199</f>
        <v>49000</v>
      </c>
    </row>
    <row r="437" spans="1:10" s="117" customFormat="1" x14ac:dyDescent="0.25">
      <c r="A437" s="177"/>
      <c r="B437" s="174">
        <v>42242</v>
      </c>
      <c r="C437" s="158"/>
      <c r="D437" s="237" t="s">
        <v>466</v>
      </c>
      <c r="E437" s="161">
        <f>'Rekapitulacija Posebni dio'!C200</f>
        <v>0</v>
      </c>
      <c r="F437" s="161">
        <f>'Rekapitulacija Posebni dio'!D200</f>
        <v>0</v>
      </c>
      <c r="G437" s="161">
        <f>'Rekapitulacija Posebni dio'!E200</f>
        <v>1500</v>
      </c>
      <c r="H437" s="161">
        <f>'Rekapitulacija Posebni dio'!F200</f>
        <v>1500</v>
      </c>
      <c r="I437" s="161">
        <f>'Rekapitulacija Posebni dio'!G200</f>
        <v>1600</v>
      </c>
      <c r="J437" s="161">
        <f>'Rekapitulacija Posebni dio'!H200</f>
        <v>1700</v>
      </c>
    </row>
    <row r="438" spans="1:10" s="117" customFormat="1" x14ac:dyDescent="0.25">
      <c r="A438" s="177"/>
      <c r="B438" s="171">
        <v>4225</v>
      </c>
      <c r="C438" s="154"/>
      <c r="D438" s="236" t="s">
        <v>188</v>
      </c>
      <c r="E438" s="153">
        <f t="shared" ref="E438:J438" si="273">SUM(E439)</f>
        <v>0</v>
      </c>
      <c r="F438" s="153">
        <f t="shared" si="273"/>
        <v>0</v>
      </c>
      <c r="G438" s="153">
        <f t="shared" si="273"/>
        <v>5000</v>
      </c>
      <c r="H438" s="153">
        <f t="shared" si="273"/>
        <v>5000</v>
      </c>
      <c r="I438" s="153">
        <f t="shared" si="273"/>
        <v>5150</v>
      </c>
      <c r="J438" s="153">
        <f t="shared" si="273"/>
        <v>5300</v>
      </c>
    </row>
    <row r="439" spans="1:10" s="117" customFormat="1" x14ac:dyDescent="0.25">
      <c r="A439" s="177"/>
      <c r="B439" s="174">
        <v>42251</v>
      </c>
      <c r="C439" s="158"/>
      <c r="D439" s="237" t="s">
        <v>671</v>
      </c>
      <c r="E439" s="161">
        <f>'Rekapitulacija Posebni dio'!C202</f>
        <v>0</v>
      </c>
      <c r="F439" s="161">
        <f>'Rekapitulacija Posebni dio'!D202</f>
        <v>0</v>
      </c>
      <c r="G439" s="161">
        <f>'Rekapitulacija Posebni dio'!E202</f>
        <v>5000</v>
      </c>
      <c r="H439" s="161">
        <f>'Rekapitulacija Posebni dio'!F202</f>
        <v>5000</v>
      </c>
      <c r="I439" s="161">
        <f>'Rekapitulacija Posebni dio'!G202</f>
        <v>5150</v>
      </c>
      <c r="J439" s="161">
        <f>'Rekapitulacija Posebni dio'!H202</f>
        <v>5300</v>
      </c>
    </row>
    <row r="440" spans="1:10" s="117" customFormat="1" x14ac:dyDescent="0.25">
      <c r="A440" s="177"/>
      <c r="B440" s="171">
        <v>4227</v>
      </c>
      <c r="C440" s="154"/>
      <c r="D440" s="236" t="s">
        <v>189</v>
      </c>
      <c r="E440" s="153">
        <f t="shared" ref="E440:J440" si="274">SUM(E441)</f>
        <v>0</v>
      </c>
      <c r="F440" s="153">
        <f t="shared" si="274"/>
        <v>0</v>
      </c>
      <c r="G440" s="153">
        <f t="shared" si="274"/>
        <v>2000</v>
      </c>
      <c r="H440" s="153">
        <f t="shared" si="274"/>
        <v>2000</v>
      </c>
      <c r="I440" s="153">
        <f t="shared" si="274"/>
        <v>2200</v>
      </c>
      <c r="J440" s="153">
        <f t="shared" si="274"/>
        <v>2400</v>
      </c>
    </row>
    <row r="441" spans="1:10" s="117" customFormat="1" x14ac:dyDescent="0.25">
      <c r="A441" s="177"/>
      <c r="B441" s="174">
        <v>42271</v>
      </c>
      <c r="C441" s="158"/>
      <c r="D441" s="237" t="s">
        <v>672</v>
      </c>
      <c r="E441" s="161">
        <f>'Rekapitulacija Posebni dio'!C204</f>
        <v>0</v>
      </c>
      <c r="F441" s="161">
        <f>'Rekapitulacija Posebni dio'!D204</f>
        <v>0</v>
      </c>
      <c r="G441" s="161">
        <f>'Rekapitulacija Posebni dio'!E204</f>
        <v>2000</v>
      </c>
      <c r="H441" s="161">
        <f>'Rekapitulacija Posebni dio'!F204</f>
        <v>2000</v>
      </c>
      <c r="I441" s="161">
        <f>'Rekapitulacija Posebni dio'!G204</f>
        <v>2200</v>
      </c>
      <c r="J441" s="161">
        <f>'Rekapitulacija Posebni dio'!H204</f>
        <v>2400</v>
      </c>
    </row>
    <row r="442" spans="1:10" s="130" customFormat="1" x14ac:dyDescent="0.25">
      <c r="A442" s="155"/>
      <c r="B442" s="171">
        <v>423</v>
      </c>
      <c r="C442" s="154"/>
      <c r="D442" s="236" t="s">
        <v>190</v>
      </c>
      <c r="E442" s="153">
        <f t="shared" ref="E442:J442" si="275">E443</f>
        <v>0</v>
      </c>
      <c r="F442" s="153">
        <f t="shared" si="275"/>
        <v>0</v>
      </c>
      <c r="G442" s="153">
        <f t="shared" si="275"/>
        <v>6722.28</v>
      </c>
      <c r="H442" s="153">
        <f t="shared" si="275"/>
        <v>6722.28</v>
      </c>
      <c r="I442" s="153">
        <f t="shared" si="275"/>
        <v>6722.28</v>
      </c>
      <c r="J442" s="153">
        <f t="shared" si="275"/>
        <v>6722.28</v>
      </c>
    </row>
    <row r="443" spans="1:10" s="130" customFormat="1" x14ac:dyDescent="0.25">
      <c r="A443" s="155"/>
      <c r="B443" s="171">
        <v>4231</v>
      </c>
      <c r="C443" s="154"/>
      <c r="D443" s="236" t="s">
        <v>190</v>
      </c>
      <c r="E443" s="153">
        <f t="shared" ref="E443:J443" si="276">SUM(E444)</f>
        <v>0</v>
      </c>
      <c r="F443" s="153">
        <f t="shared" si="276"/>
        <v>0</v>
      </c>
      <c r="G443" s="153">
        <f t="shared" si="276"/>
        <v>6722.28</v>
      </c>
      <c r="H443" s="153">
        <f t="shared" si="276"/>
        <v>6722.28</v>
      </c>
      <c r="I443" s="153">
        <f t="shared" si="276"/>
        <v>6722.28</v>
      </c>
      <c r="J443" s="153">
        <f t="shared" si="276"/>
        <v>6722.28</v>
      </c>
    </row>
    <row r="444" spans="1:10" s="117" customFormat="1" x14ac:dyDescent="0.25">
      <c r="A444" s="177"/>
      <c r="B444" s="174">
        <v>42311</v>
      </c>
      <c r="C444" s="158"/>
      <c r="D444" s="237" t="s">
        <v>467</v>
      </c>
      <c r="E444" s="161">
        <f>'Rekapitulacija Posebni dio'!C207</f>
        <v>0</v>
      </c>
      <c r="F444" s="161">
        <f>'Rekapitulacija Posebni dio'!D207</f>
        <v>0</v>
      </c>
      <c r="G444" s="161">
        <f>'Rekapitulacija Posebni dio'!E207</f>
        <v>6722.28</v>
      </c>
      <c r="H444" s="161">
        <f>'Rekapitulacija Posebni dio'!F207</f>
        <v>6722.28</v>
      </c>
      <c r="I444" s="161">
        <f>'Rekapitulacija Posebni dio'!G207</f>
        <v>6722.28</v>
      </c>
      <c r="J444" s="161">
        <f>'Rekapitulacija Posebni dio'!H207</f>
        <v>6722.28</v>
      </c>
    </row>
    <row r="445" spans="1:10" s="130" customFormat="1" hidden="1" x14ac:dyDescent="0.25">
      <c r="A445" s="155"/>
      <c r="B445" s="171">
        <v>426</v>
      </c>
      <c r="C445" s="154"/>
      <c r="D445" s="236" t="s">
        <v>191</v>
      </c>
      <c r="E445" s="153">
        <f t="shared" ref="E445:J445" si="277">E446</f>
        <v>0</v>
      </c>
      <c r="F445" s="153">
        <f t="shared" si="277"/>
        <v>0</v>
      </c>
      <c r="G445" s="153"/>
      <c r="H445" s="153">
        <f t="shared" si="277"/>
        <v>0</v>
      </c>
      <c r="I445" s="153">
        <f t="shared" si="277"/>
        <v>0</v>
      </c>
      <c r="J445" s="153">
        <f t="shared" si="277"/>
        <v>0</v>
      </c>
    </row>
    <row r="446" spans="1:10" s="117" customFormat="1" hidden="1" x14ac:dyDescent="0.25">
      <c r="A446" s="177"/>
      <c r="B446" s="171">
        <v>4262</v>
      </c>
      <c r="C446" s="154"/>
      <c r="D446" s="236" t="s">
        <v>192</v>
      </c>
      <c r="E446" s="161"/>
      <c r="F446" s="161"/>
      <c r="G446" s="161"/>
      <c r="H446" s="161"/>
      <c r="I446" s="161"/>
      <c r="J446" s="161"/>
    </row>
    <row r="447" spans="1:10" s="117" customFormat="1" x14ac:dyDescent="0.25">
      <c r="A447" s="177"/>
      <c r="B447" s="132" t="s">
        <v>193</v>
      </c>
      <c r="C447" s="199"/>
      <c r="D447" s="234" t="s">
        <v>196</v>
      </c>
      <c r="E447" s="165">
        <f t="shared" ref="E447" si="278">E448+E451</f>
        <v>0</v>
      </c>
      <c r="F447" s="165">
        <f t="shared" ref="F447:J447" si="279">F448+F451</f>
        <v>0</v>
      </c>
      <c r="G447" s="165">
        <f t="shared" ref="G447" si="280">G448+G451</f>
        <v>10000</v>
      </c>
      <c r="H447" s="165">
        <f t="shared" si="279"/>
        <v>10000</v>
      </c>
      <c r="I447" s="165">
        <f t="shared" si="279"/>
        <v>10000</v>
      </c>
      <c r="J447" s="165">
        <f t="shared" si="279"/>
        <v>10000</v>
      </c>
    </row>
    <row r="448" spans="1:10" s="117" customFormat="1" x14ac:dyDescent="0.25">
      <c r="A448" s="177"/>
      <c r="B448" s="150" t="s">
        <v>195</v>
      </c>
      <c r="C448" s="213"/>
      <c r="D448" s="188" t="s">
        <v>204</v>
      </c>
      <c r="E448" s="153">
        <f t="shared" ref="E448:J449" si="281">SUM(E449)</f>
        <v>0</v>
      </c>
      <c r="F448" s="153">
        <f t="shared" si="281"/>
        <v>0</v>
      </c>
      <c r="G448" s="153">
        <f t="shared" si="281"/>
        <v>10000</v>
      </c>
      <c r="H448" s="153">
        <f t="shared" si="281"/>
        <v>10000</v>
      </c>
      <c r="I448" s="153">
        <f t="shared" si="281"/>
        <v>10000</v>
      </c>
      <c r="J448" s="153">
        <f t="shared" si="281"/>
        <v>10000</v>
      </c>
    </row>
    <row r="449" spans="1:10" s="117" customFormat="1" x14ac:dyDescent="0.25">
      <c r="A449" s="177"/>
      <c r="B449" s="150" t="s">
        <v>197</v>
      </c>
      <c r="C449" s="188"/>
      <c r="D449" s="188" t="s">
        <v>196</v>
      </c>
      <c r="E449" s="153">
        <f t="shared" si="281"/>
        <v>0</v>
      </c>
      <c r="F449" s="153">
        <f t="shared" si="281"/>
        <v>0</v>
      </c>
      <c r="G449" s="153">
        <f t="shared" si="281"/>
        <v>10000</v>
      </c>
      <c r="H449" s="153">
        <f t="shared" si="281"/>
        <v>10000</v>
      </c>
      <c r="I449" s="153">
        <f t="shared" si="281"/>
        <v>10000</v>
      </c>
      <c r="J449" s="153">
        <f t="shared" si="281"/>
        <v>10000</v>
      </c>
    </row>
    <row r="450" spans="1:10" s="117" customFormat="1" x14ac:dyDescent="0.25">
      <c r="A450" s="177"/>
      <c r="B450" s="214" t="s">
        <v>509</v>
      </c>
      <c r="C450" s="213"/>
      <c r="D450" s="213" t="s">
        <v>196</v>
      </c>
      <c r="E450" s="161">
        <f>'Rekapitulacija Posebni dio'!C213</f>
        <v>0</v>
      </c>
      <c r="F450" s="161">
        <f>'Rekapitulacija Posebni dio'!D213</f>
        <v>0</v>
      </c>
      <c r="G450" s="161">
        <f>'Rekapitulacija Posebni dio'!E213</f>
        <v>10000</v>
      </c>
      <c r="H450" s="161">
        <f>'Rekapitulacija Posebni dio'!F213</f>
        <v>10000</v>
      </c>
      <c r="I450" s="161">
        <f>'Rekapitulacija Posebni dio'!G213</f>
        <v>10000</v>
      </c>
      <c r="J450" s="161">
        <f>'Rekapitulacija Posebni dio'!H213</f>
        <v>10000</v>
      </c>
    </row>
    <row r="451" spans="1:10" s="117" customFormat="1" hidden="1" x14ac:dyDescent="0.25">
      <c r="A451" s="177"/>
      <c r="B451" s="150" t="s">
        <v>198</v>
      </c>
      <c r="C451" s="188"/>
      <c r="D451" s="188" t="s">
        <v>199</v>
      </c>
      <c r="E451" s="153">
        <f t="shared" ref="E451:J451" si="282">E452</f>
        <v>0</v>
      </c>
      <c r="F451" s="153">
        <f t="shared" si="282"/>
        <v>0</v>
      </c>
      <c r="G451" s="153"/>
      <c r="H451" s="153">
        <f t="shared" si="282"/>
        <v>0</v>
      </c>
      <c r="I451" s="153">
        <f t="shared" si="282"/>
        <v>0</v>
      </c>
      <c r="J451" s="153">
        <f t="shared" si="282"/>
        <v>0</v>
      </c>
    </row>
    <row r="452" spans="1:10" s="117" customFormat="1" hidden="1" x14ac:dyDescent="0.25">
      <c r="A452" s="155"/>
      <c r="B452" s="150" t="s">
        <v>200</v>
      </c>
      <c r="C452" s="188"/>
      <c r="D452" s="188" t="s">
        <v>201</v>
      </c>
      <c r="E452" s="161"/>
      <c r="F452" s="161"/>
      <c r="G452" s="161"/>
      <c r="H452" s="161"/>
      <c r="I452" s="161"/>
      <c r="J452" s="161"/>
    </row>
    <row r="453" spans="1:10" s="117" customFormat="1" x14ac:dyDescent="0.25">
      <c r="A453" s="238"/>
      <c r="B453" s="239"/>
      <c r="C453" s="473">
        <v>43</v>
      </c>
      <c r="D453" s="146" t="s">
        <v>56</v>
      </c>
      <c r="E453" s="240">
        <f t="shared" ref="E453" si="283">E419+E246</f>
        <v>0</v>
      </c>
      <c r="F453" s="240">
        <f t="shared" ref="F453:J453" si="284">F419+F246</f>
        <v>0</v>
      </c>
      <c r="G453" s="240">
        <f t="shared" ref="G453" si="285">G419+G246</f>
        <v>21410157.050000001</v>
      </c>
      <c r="H453" s="240">
        <f t="shared" si="284"/>
        <v>21410157.050000001</v>
      </c>
      <c r="I453" s="240">
        <f t="shared" si="284"/>
        <v>21715388.41</v>
      </c>
      <c r="J453" s="240">
        <f t="shared" si="284"/>
        <v>22025967.890000001</v>
      </c>
    </row>
    <row r="454" spans="1:10" s="117" customFormat="1" x14ac:dyDescent="0.25">
      <c r="A454" s="238"/>
      <c r="B454" s="239"/>
      <c r="C454" s="473">
        <v>4</v>
      </c>
      <c r="D454" s="146" t="s">
        <v>710</v>
      </c>
      <c r="E454" s="240"/>
      <c r="F454" s="240"/>
      <c r="G454" s="240">
        <f>G453</f>
        <v>21410157.050000001</v>
      </c>
      <c r="H454" s="240">
        <f>H453</f>
        <v>21410157.050000001</v>
      </c>
      <c r="I454" s="240">
        <f t="shared" ref="I454:J454" si="286">I453</f>
        <v>21715388.41</v>
      </c>
      <c r="J454" s="240">
        <f t="shared" si="286"/>
        <v>22025967.890000001</v>
      </c>
    </row>
    <row r="455" spans="1:10" x14ac:dyDescent="0.25">
      <c r="A455" s="208" t="s">
        <v>83</v>
      </c>
      <c r="B455" s="208"/>
      <c r="C455" s="209"/>
      <c r="D455" s="210" t="s">
        <v>84</v>
      </c>
      <c r="E455" s="244" t="e">
        <f>E456+E463+#REF!</f>
        <v>#REF!</v>
      </c>
      <c r="F455" s="244" t="e">
        <f>F456+F463+#REF!</f>
        <v>#REF!</v>
      </c>
      <c r="G455" s="244">
        <f>G456+G463</f>
        <v>82314.61</v>
      </c>
      <c r="H455" s="244">
        <f>H456+H463</f>
        <v>82314.61</v>
      </c>
      <c r="I455" s="244">
        <f t="shared" ref="I455:J455" si="287">I456+I463</f>
        <v>68314.61</v>
      </c>
      <c r="J455" s="244">
        <f t="shared" si="287"/>
        <v>68314.61</v>
      </c>
    </row>
    <row r="456" spans="1:10" x14ac:dyDescent="0.25">
      <c r="A456" s="188"/>
      <c r="B456" s="132">
        <v>31</v>
      </c>
      <c r="C456" s="199"/>
      <c r="D456" s="212" t="s">
        <v>85</v>
      </c>
      <c r="E456" s="135" t="e">
        <f>E457+#REF!+E460</f>
        <v>#REF!</v>
      </c>
      <c r="F456" s="135" t="e">
        <f>F457+#REF!+F460</f>
        <v>#REF!</v>
      </c>
      <c r="G456" s="135">
        <f>G457+G460</f>
        <v>73514.61</v>
      </c>
      <c r="H456" s="135">
        <f>H457+H460</f>
        <v>73514.61</v>
      </c>
      <c r="I456" s="135">
        <f t="shared" ref="I456:J456" si="288">I457+I460</f>
        <v>68314.61</v>
      </c>
      <c r="J456" s="135">
        <f t="shared" si="288"/>
        <v>68314.61</v>
      </c>
    </row>
    <row r="457" spans="1:10" x14ac:dyDescent="0.25">
      <c r="A457" s="188"/>
      <c r="B457" s="150">
        <v>311</v>
      </c>
      <c r="C457" s="213"/>
      <c r="D457" s="188" t="s">
        <v>86</v>
      </c>
      <c r="E457" s="217" t="e">
        <f>E458+#REF!</f>
        <v>#REF!</v>
      </c>
      <c r="F457" s="217" t="e">
        <f>F458+#REF!</f>
        <v>#REF!</v>
      </c>
      <c r="G457" s="217">
        <f>G458</f>
        <v>63839.15</v>
      </c>
      <c r="H457" s="217">
        <f>H458</f>
        <v>63839.15</v>
      </c>
      <c r="I457" s="217">
        <f t="shared" ref="I457:J457" si="289">I458</f>
        <v>58639.15</v>
      </c>
      <c r="J457" s="217">
        <f t="shared" si="289"/>
        <v>58639.15</v>
      </c>
    </row>
    <row r="458" spans="1:10" x14ac:dyDescent="0.25">
      <c r="A458" s="188"/>
      <c r="B458" s="150">
        <v>3111</v>
      </c>
      <c r="C458" s="188"/>
      <c r="D458" s="188" t="s">
        <v>87</v>
      </c>
      <c r="E458" s="217" t="e">
        <f t="shared" ref="E458:J458" si="290">SUM(E459)</f>
        <v>#REF!</v>
      </c>
      <c r="F458" s="217" t="e">
        <f t="shared" si="290"/>
        <v>#REF!</v>
      </c>
      <c r="G458" s="217">
        <f t="shared" si="290"/>
        <v>63839.15</v>
      </c>
      <c r="H458" s="217">
        <f t="shared" si="290"/>
        <v>63839.15</v>
      </c>
      <c r="I458" s="217">
        <f t="shared" si="290"/>
        <v>58639.15</v>
      </c>
      <c r="J458" s="217">
        <f t="shared" si="290"/>
        <v>58639.15</v>
      </c>
    </row>
    <row r="459" spans="1:10" x14ac:dyDescent="0.25">
      <c r="A459" s="188"/>
      <c r="B459" s="214" t="s">
        <v>480</v>
      </c>
      <c r="C459" s="213"/>
      <c r="D459" s="213" t="s">
        <v>87</v>
      </c>
      <c r="E459" s="218" t="e">
        <f>'Rekapitulacija Posebni dio'!C354+'Rekapitulacija Posebni dio'!C574+'Rekapitulacija Posebni dio'!#REF!+'Rekapitulacija Posebni dio'!C611+'Rekapitulacija Posebni dio'!#REF!+'Rekapitulacija Posebni dio'!#REF!+'Rekapitulacija Posebni dio'!C651</f>
        <v>#REF!</v>
      </c>
      <c r="F459" s="218" t="e">
        <f>'Rekapitulacija Posebni dio'!D354+'Rekapitulacija Posebni dio'!D574+'Rekapitulacija Posebni dio'!#REF!+'Rekapitulacija Posebni dio'!D611+'Rekapitulacija Posebni dio'!#REF!+'Rekapitulacija Posebni dio'!#REF!+'Rekapitulacija Posebni dio'!D651</f>
        <v>#REF!</v>
      </c>
      <c r="G459" s="218">
        <f>'Rekapitulacija Posebni dio'!E354+'Rekapitulacija Posebni dio'!E611</f>
        <v>63839.15</v>
      </c>
      <c r="H459" s="218">
        <f>'Rekapitulacija Posebni dio'!F354+'Rekapitulacija Posebni dio'!F611</f>
        <v>63839.15</v>
      </c>
      <c r="I459" s="218">
        <f>'Rekapitulacija Posebni dio'!G354+'Rekapitulacija Posebni dio'!G611</f>
        <v>58639.15</v>
      </c>
      <c r="J459" s="218">
        <f>'Rekapitulacija Posebni dio'!H354+'Rekapitulacija Posebni dio'!H611</f>
        <v>58639.15</v>
      </c>
    </row>
    <row r="460" spans="1:10" x14ac:dyDescent="0.25">
      <c r="A460" s="188"/>
      <c r="B460" s="150" t="s">
        <v>209</v>
      </c>
      <c r="C460" s="188"/>
      <c r="D460" s="188" t="s">
        <v>97</v>
      </c>
      <c r="E460" s="246" t="e">
        <f t="shared" ref="E460:J461" si="291">SUM(E461)</f>
        <v>#REF!</v>
      </c>
      <c r="F460" s="246" t="e">
        <f t="shared" si="291"/>
        <v>#REF!</v>
      </c>
      <c r="G460" s="246">
        <f t="shared" si="291"/>
        <v>9675.4599999999991</v>
      </c>
      <c r="H460" s="246">
        <f t="shared" si="291"/>
        <v>9675.4599999999991</v>
      </c>
      <c r="I460" s="246">
        <f t="shared" si="291"/>
        <v>9675.4599999999991</v>
      </c>
      <c r="J460" s="246">
        <f t="shared" si="291"/>
        <v>9675.4599999999991</v>
      </c>
    </row>
    <row r="461" spans="1:10" x14ac:dyDescent="0.25">
      <c r="A461" s="188"/>
      <c r="B461" s="150" t="s">
        <v>210</v>
      </c>
      <c r="C461" s="188"/>
      <c r="D461" s="188" t="s">
        <v>211</v>
      </c>
      <c r="E461" s="246" t="e">
        <f t="shared" si="291"/>
        <v>#REF!</v>
      </c>
      <c r="F461" s="246" t="e">
        <f t="shared" si="291"/>
        <v>#REF!</v>
      </c>
      <c r="G461" s="246">
        <f t="shared" si="291"/>
        <v>9675.4599999999991</v>
      </c>
      <c r="H461" s="246">
        <f t="shared" si="291"/>
        <v>9675.4599999999991</v>
      </c>
      <c r="I461" s="246">
        <f t="shared" si="291"/>
        <v>9675.4599999999991</v>
      </c>
      <c r="J461" s="246">
        <f t="shared" si="291"/>
        <v>9675.4599999999991</v>
      </c>
    </row>
    <row r="462" spans="1:10" x14ac:dyDescent="0.25">
      <c r="A462" s="188"/>
      <c r="B462" s="214" t="s">
        <v>490</v>
      </c>
      <c r="C462" s="213"/>
      <c r="D462" s="213" t="s">
        <v>211</v>
      </c>
      <c r="E462" s="218" t="e">
        <f>'Rekapitulacija Posebni dio'!C361+'Rekapitulacija Posebni dio'!C583+'Rekapitulacija Posebni dio'!#REF!+'Rekapitulacija Posebni dio'!#REF!</f>
        <v>#REF!</v>
      </c>
      <c r="F462" s="218" t="e">
        <f>'Rekapitulacija Posebni dio'!D361+'Rekapitulacija Posebni dio'!D583+'Rekapitulacija Posebni dio'!#REF!+'Rekapitulacija Posebni dio'!#REF!</f>
        <v>#REF!</v>
      </c>
      <c r="G462" s="218">
        <f>'Rekapitulacija Posebni dio'!E361</f>
        <v>9675.4599999999991</v>
      </c>
      <c r="H462" s="218">
        <f>'Rekapitulacija Posebni dio'!F361</f>
        <v>9675.4599999999991</v>
      </c>
      <c r="I462" s="218">
        <f>'Rekapitulacija Posebni dio'!G361</f>
        <v>9675.4599999999991</v>
      </c>
      <c r="J462" s="218">
        <f>'Rekapitulacija Posebni dio'!H361</f>
        <v>9675.4599999999991</v>
      </c>
    </row>
    <row r="463" spans="1:10" x14ac:dyDescent="0.25">
      <c r="A463" s="188"/>
      <c r="B463" s="132">
        <v>32</v>
      </c>
      <c r="C463" s="199"/>
      <c r="D463" s="212" t="s">
        <v>99</v>
      </c>
      <c r="E463" s="247" t="e">
        <f>E464+E473+E480+#REF!+E487</f>
        <v>#REF!</v>
      </c>
      <c r="F463" s="247" t="e">
        <f>F464+F473+F480+#REF!+F487</f>
        <v>#REF!</v>
      </c>
      <c r="G463" s="247">
        <f t="shared" ref="G463" si="292">G464+G473+G480+G487</f>
        <v>8800</v>
      </c>
      <c r="H463" s="247">
        <f t="shared" ref="H463:J463" si="293">H464+H473+H480+H487</f>
        <v>8800</v>
      </c>
      <c r="I463" s="247">
        <f t="shared" si="293"/>
        <v>0</v>
      </c>
      <c r="J463" s="247">
        <f t="shared" si="293"/>
        <v>0</v>
      </c>
    </row>
    <row r="464" spans="1:10" x14ac:dyDescent="0.25">
      <c r="A464" s="188"/>
      <c r="B464" s="150" t="s">
        <v>212</v>
      </c>
      <c r="C464" s="188"/>
      <c r="D464" s="228" t="s">
        <v>100</v>
      </c>
      <c r="E464" s="246" t="e">
        <f>E465+E469+E471</f>
        <v>#REF!</v>
      </c>
      <c r="F464" s="246" t="e">
        <f>F465+F469+F471</f>
        <v>#REF!</v>
      </c>
      <c r="G464" s="246">
        <f t="shared" ref="G464" si="294">G465+G469+G471</f>
        <v>3000</v>
      </c>
      <c r="H464" s="246">
        <f t="shared" ref="H464:J464" si="295">H465+H469+H471</f>
        <v>3000</v>
      </c>
      <c r="I464" s="246">
        <f t="shared" si="295"/>
        <v>0</v>
      </c>
      <c r="J464" s="246">
        <f t="shared" si="295"/>
        <v>0</v>
      </c>
    </row>
    <row r="465" spans="1:10" x14ac:dyDescent="0.25">
      <c r="A465" s="188"/>
      <c r="B465" s="150" t="s">
        <v>101</v>
      </c>
      <c r="C465" s="188"/>
      <c r="D465" s="228" t="s">
        <v>102</v>
      </c>
      <c r="E465" s="246" t="e">
        <f>E466+E467+E468</f>
        <v>#REF!</v>
      </c>
      <c r="F465" s="246" t="e">
        <f t="shared" ref="F465:J465" si="296">F466+F467+F468</f>
        <v>#REF!</v>
      </c>
      <c r="G465" s="246">
        <f t="shared" ref="G465" si="297">G466+G467+G468</f>
        <v>1600</v>
      </c>
      <c r="H465" s="246">
        <f t="shared" si="296"/>
        <v>1600</v>
      </c>
      <c r="I465" s="246">
        <f t="shared" si="296"/>
        <v>0</v>
      </c>
      <c r="J465" s="246">
        <f t="shared" si="296"/>
        <v>0</v>
      </c>
    </row>
    <row r="466" spans="1:10" x14ac:dyDescent="0.25">
      <c r="A466" s="188"/>
      <c r="B466" s="214" t="s">
        <v>521</v>
      </c>
      <c r="C466" s="188"/>
      <c r="D466" s="229" t="s">
        <v>403</v>
      </c>
      <c r="E466" s="245" t="e">
        <f>'Rekapitulacija Posebni dio'!C587+'Rekapitulacija Posebni dio'!#REF!+'Rekapitulacija Posebni dio'!C622+'Rekapitulacija Posebni dio'!#REF!+'Rekapitulacija Posebni dio'!C664</f>
        <v>#REF!</v>
      </c>
      <c r="F466" s="245" t="e">
        <f>'Rekapitulacija Posebni dio'!D587+'Rekapitulacija Posebni dio'!#REF!+'Rekapitulacija Posebni dio'!D622+'Rekapitulacija Posebni dio'!#REF!+'Rekapitulacija Posebni dio'!D664</f>
        <v>#REF!</v>
      </c>
      <c r="G466" s="245">
        <f>'Rekapitulacija Posebni dio'!E622</f>
        <v>600</v>
      </c>
      <c r="H466" s="245">
        <f>'Rekapitulacija Posebni dio'!F622</f>
        <v>600</v>
      </c>
      <c r="I466" s="245">
        <f>'Rekapitulacija Posebni dio'!G622</f>
        <v>0</v>
      </c>
      <c r="J466" s="245">
        <f>'Rekapitulacija Posebni dio'!H622</f>
        <v>0</v>
      </c>
    </row>
    <row r="467" spans="1:10" x14ac:dyDescent="0.25">
      <c r="A467" s="188"/>
      <c r="B467" s="214" t="s">
        <v>528</v>
      </c>
      <c r="C467" s="188"/>
      <c r="D467" s="229" t="s">
        <v>405</v>
      </c>
      <c r="E467" s="245" t="e">
        <f>'Rekapitulacija Posebni dio'!#REF!+'Rekapitulacija Posebni dio'!C623</f>
        <v>#REF!</v>
      </c>
      <c r="F467" s="245" t="e">
        <f>'Rekapitulacija Posebni dio'!#REF!+'Rekapitulacija Posebni dio'!D623</f>
        <v>#REF!</v>
      </c>
      <c r="G467" s="245">
        <f>'Rekapitulacija Posebni dio'!E623</f>
        <v>600</v>
      </c>
      <c r="H467" s="245">
        <f>'Rekapitulacija Posebni dio'!F623</f>
        <v>600</v>
      </c>
      <c r="I467" s="245">
        <f>'Rekapitulacija Posebni dio'!G623</f>
        <v>0</v>
      </c>
      <c r="J467" s="245">
        <f>'Rekapitulacija Posebni dio'!H623</f>
        <v>0</v>
      </c>
    </row>
    <row r="468" spans="1:10" x14ac:dyDescent="0.25">
      <c r="A468" s="188"/>
      <c r="B468" s="214" t="s">
        <v>510</v>
      </c>
      <c r="C468" s="188"/>
      <c r="D468" s="229" t="s">
        <v>406</v>
      </c>
      <c r="E468" s="245" t="e">
        <f>'Rekapitulacija Posebni dio'!#REF!+'Rekapitulacija Posebni dio'!C624</f>
        <v>#REF!</v>
      </c>
      <c r="F468" s="245" t="e">
        <f>'Rekapitulacija Posebni dio'!#REF!+'Rekapitulacija Posebni dio'!D624</f>
        <v>#REF!</v>
      </c>
      <c r="G468" s="245">
        <f>'Rekapitulacija Posebni dio'!E624</f>
        <v>400</v>
      </c>
      <c r="H468" s="245">
        <f>'Rekapitulacija Posebni dio'!F624</f>
        <v>400</v>
      </c>
      <c r="I468" s="245">
        <f>'Rekapitulacija Posebni dio'!G624</f>
        <v>0</v>
      </c>
      <c r="J468" s="245">
        <f>'Rekapitulacija Posebni dio'!H624</f>
        <v>0</v>
      </c>
    </row>
    <row r="469" spans="1:10" x14ac:dyDescent="0.25">
      <c r="A469" s="188"/>
      <c r="B469" s="150" t="s">
        <v>103</v>
      </c>
      <c r="C469" s="188"/>
      <c r="D469" s="228" t="s">
        <v>104</v>
      </c>
      <c r="E469" s="246" t="e">
        <f t="shared" ref="E469:J469" si="298">SUM(E470)</f>
        <v>#REF!</v>
      </c>
      <c r="F469" s="246" t="e">
        <f>SUM(F470)</f>
        <v>#REF!</v>
      </c>
      <c r="G469" s="246">
        <f t="shared" si="298"/>
        <v>400</v>
      </c>
      <c r="H469" s="246">
        <f t="shared" si="298"/>
        <v>400</v>
      </c>
      <c r="I469" s="246">
        <f t="shared" si="298"/>
        <v>0</v>
      </c>
      <c r="J469" s="246">
        <f t="shared" si="298"/>
        <v>0</v>
      </c>
    </row>
    <row r="470" spans="1:10" x14ac:dyDescent="0.25">
      <c r="A470" s="213"/>
      <c r="B470" s="214" t="s">
        <v>491</v>
      </c>
      <c r="C470" s="213"/>
      <c r="D470" s="229" t="s">
        <v>104</v>
      </c>
      <c r="E470" s="245" t="e">
        <f>'Rekapitulacija Posebni dio'!C591+'Rekapitulacija Posebni dio'!#REF!+'Rekapitulacija Posebni dio'!C626+'Rekapitulacija Posebni dio'!#REF!</f>
        <v>#REF!</v>
      </c>
      <c r="F470" s="245" t="e">
        <f>'Rekapitulacija Posebni dio'!D591+'Rekapitulacija Posebni dio'!#REF!+'Rekapitulacija Posebni dio'!D626+'Rekapitulacija Posebni dio'!#REF!</f>
        <v>#REF!</v>
      </c>
      <c r="G470" s="464">
        <f>'Rekapitulacija Posebni dio'!E626</f>
        <v>400</v>
      </c>
      <c r="H470" s="464">
        <f>'Rekapitulacija Posebni dio'!F626</f>
        <v>400</v>
      </c>
      <c r="I470" s="464">
        <f>'Rekapitulacija Posebni dio'!G626</f>
        <v>0</v>
      </c>
      <c r="J470" s="464">
        <f>'Rekapitulacija Posebni dio'!H626</f>
        <v>0</v>
      </c>
    </row>
    <row r="471" spans="1:10" x14ac:dyDescent="0.25">
      <c r="A471" s="213"/>
      <c r="B471" s="150" t="s">
        <v>105</v>
      </c>
      <c r="C471" s="188"/>
      <c r="D471" s="228" t="s">
        <v>106</v>
      </c>
      <c r="E471" s="246" t="e">
        <f t="shared" ref="E471:J471" si="299">SUM(E472:E472)</f>
        <v>#REF!</v>
      </c>
      <c r="F471" s="246" t="e">
        <f t="shared" si="299"/>
        <v>#REF!</v>
      </c>
      <c r="G471" s="246">
        <f t="shared" si="299"/>
        <v>1000</v>
      </c>
      <c r="H471" s="246">
        <f t="shared" si="299"/>
        <v>1000</v>
      </c>
      <c r="I471" s="246">
        <f t="shared" si="299"/>
        <v>0</v>
      </c>
      <c r="J471" s="246">
        <f t="shared" si="299"/>
        <v>0</v>
      </c>
    </row>
    <row r="472" spans="1:10" x14ac:dyDescent="0.25">
      <c r="A472" s="213"/>
      <c r="B472" s="214" t="s">
        <v>511</v>
      </c>
      <c r="C472" s="213"/>
      <c r="D472" s="229" t="s">
        <v>408</v>
      </c>
      <c r="E472" s="245" t="e">
        <f>'Rekapitulacija Posebni dio'!C593+'Rekapitulacija Posebni dio'!#REF!+'Rekapitulacija Posebni dio'!C628</f>
        <v>#REF!</v>
      </c>
      <c r="F472" s="245" t="e">
        <f>'Rekapitulacija Posebni dio'!D593+'Rekapitulacija Posebni dio'!#REF!+'Rekapitulacija Posebni dio'!D628</f>
        <v>#REF!</v>
      </c>
      <c r="G472" s="245">
        <f>'Rekapitulacija Posebni dio'!E628</f>
        <v>1000</v>
      </c>
      <c r="H472" s="245">
        <f>'Rekapitulacija Posebni dio'!F628</f>
        <v>1000</v>
      </c>
      <c r="I472" s="245">
        <f>'Rekapitulacija Posebni dio'!G628</f>
        <v>0</v>
      </c>
      <c r="J472" s="245">
        <f>'Rekapitulacija Posebni dio'!H628</f>
        <v>0</v>
      </c>
    </row>
    <row r="473" spans="1:10" x14ac:dyDescent="0.25">
      <c r="A473" s="188"/>
      <c r="B473" s="150" t="s">
        <v>109</v>
      </c>
      <c r="C473" s="188"/>
      <c r="D473" s="188" t="s">
        <v>110</v>
      </c>
      <c r="E473" s="217" t="e">
        <f>E474+E477+E478+#REF!</f>
        <v>#REF!</v>
      </c>
      <c r="F473" s="217" t="e">
        <f>F474+F477+F478+#REF!</f>
        <v>#REF!</v>
      </c>
      <c r="G473" s="217">
        <f>G474+G477+G478</f>
        <v>2500</v>
      </c>
      <c r="H473" s="217">
        <f>H474+H477+H478</f>
        <v>2500</v>
      </c>
      <c r="I473" s="217">
        <f t="shared" ref="I473:J473" si="300">I474+I477+I478</f>
        <v>0</v>
      </c>
      <c r="J473" s="217">
        <f t="shared" si="300"/>
        <v>0</v>
      </c>
    </row>
    <row r="474" spans="1:10" x14ac:dyDescent="0.25">
      <c r="A474" s="213"/>
      <c r="B474" s="150" t="s">
        <v>111</v>
      </c>
      <c r="C474" s="188"/>
      <c r="D474" s="188" t="s">
        <v>112</v>
      </c>
      <c r="E474" s="217">
        <f>E475+E476</f>
        <v>0</v>
      </c>
      <c r="F474" s="217">
        <f t="shared" ref="F474:J474" si="301">F475+F476</f>
        <v>0</v>
      </c>
      <c r="G474" s="217">
        <f t="shared" ref="G474" si="302">G475+G476</f>
        <v>2000</v>
      </c>
      <c r="H474" s="217">
        <f t="shared" si="301"/>
        <v>2000</v>
      </c>
      <c r="I474" s="217">
        <f t="shared" si="301"/>
        <v>0</v>
      </c>
      <c r="J474" s="217">
        <f t="shared" si="301"/>
        <v>0</v>
      </c>
    </row>
    <row r="475" spans="1:10" x14ac:dyDescent="0.25">
      <c r="A475" s="213"/>
      <c r="B475" s="214" t="s">
        <v>512</v>
      </c>
      <c r="C475" s="213"/>
      <c r="D475" s="213" t="s">
        <v>410</v>
      </c>
      <c r="E475" s="218">
        <f>'Rekapitulacija Posebni dio'!C631</f>
        <v>0</v>
      </c>
      <c r="F475" s="218">
        <f>'Rekapitulacija Posebni dio'!D631</f>
        <v>0</v>
      </c>
      <c r="G475" s="218">
        <f>'Rekapitulacija Posebni dio'!E631</f>
        <v>800</v>
      </c>
      <c r="H475" s="218">
        <f>'Rekapitulacija Posebni dio'!F631</f>
        <v>800</v>
      </c>
      <c r="I475" s="218">
        <f>'Rekapitulacija Posebni dio'!G631</f>
        <v>0</v>
      </c>
      <c r="J475" s="218">
        <f>'Rekapitulacija Posebni dio'!H631</f>
        <v>0</v>
      </c>
    </row>
    <row r="476" spans="1:10" x14ac:dyDescent="0.25">
      <c r="A476" s="213"/>
      <c r="B476" s="214" t="s">
        <v>534</v>
      </c>
      <c r="C476" s="213"/>
      <c r="D476" s="213" t="s">
        <v>414</v>
      </c>
      <c r="E476" s="218">
        <f>'Rekapitulacija Posebni dio'!C632</f>
        <v>0</v>
      </c>
      <c r="F476" s="218">
        <f>'Rekapitulacija Posebni dio'!D632</f>
        <v>0</v>
      </c>
      <c r="G476" s="218">
        <f>'Rekapitulacija Posebni dio'!E632</f>
        <v>1200</v>
      </c>
      <c r="H476" s="218">
        <f>'Rekapitulacija Posebni dio'!F632</f>
        <v>1200</v>
      </c>
      <c r="I476" s="218">
        <f>'Rekapitulacija Posebni dio'!G632</f>
        <v>0</v>
      </c>
      <c r="J476" s="218">
        <f>'Rekapitulacija Posebni dio'!H632</f>
        <v>0</v>
      </c>
    </row>
    <row r="477" spans="1:10" hidden="1" x14ac:dyDescent="0.25">
      <c r="A477" s="188"/>
      <c r="B477" s="150" t="s">
        <v>113</v>
      </c>
      <c r="C477" s="188"/>
      <c r="D477" s="188" t="s">
        <v>114</v>
      </c>
      <c r="E477" s="218"/>
      <c r="F477" s="218"/>
      <c r="G477" s="218"/>
      <c r="H477" s="218"/>
      <c r="I477" s="218"/>
      <c r="J477" s="218"/>
    </row>
    <row r="478" spans="1:10" x14ac:dyDescent="0.25">
      <c r="A478" s="188"/>
      <c r="B478" s="150" t="s">
        <v>115</v>
      </c>
      <c r="C478" s="188"/>
      <c r="D478" s="188" t="s">
        <v>116</v>
      </c>
      <c r="E478" s="217">
        <f t="shared" ref="E478:J478" si="303">E479</f>
        <v>0</v>
      </c>
      <c r="F478" s="217">
        <f t="shared" si="303"/>
        <v>0</v>
      </c>
      <c r="G478" s="217">
        <f t="shared" si="303"/>
        <v>500</v>
      </c>
      <c r="H478" s="217">
        <f t="shared" si="303"/>
        <v>500</v>
      </c>
      <c r="I478" s="217">
        <f t="shared" si="303"/>
        <v>0</v>
      </c>
      <c r="J478" s="217">
        <f t="shared" si="303"/>
        <v>0</v>
      </c>
    </row>
    <row r="479" spans="1:10" x14ac:dyDescent="0.25">
      <c r="A479" s="188"/>
      <c r="B479" s="214" t="s">
        <v>499</v>
      </c>
      <c r="C479" s="213"/>
      <c r="D479" s="213" t="s">
        <v>418</v>
      </c>
      <c r="E479" s="218">
        <f>'Rekapitulacija Posebni dio'!C634</f>
        <v>0</v>
      </c>
      <c r="F479" s="218">
        <f>'Rekapitulacija Posebni dio'!D634</f>
        <v>0</v>
      </c>
      <c r="G479" s="218">
        <f>'Rekapitulacija Posebni dio'!E634</f>
        <v>500</v>
      </c>
      <c r="H479" s="218">
        <f>'Rekapitulacija Posebni dio'!F634</f>
        <v>500</v>
      </c>
      <c r="I479" s="218">
        <f>'Rekapitulacija Posebni dio'!G634</f>
        <v>0</v>
      </c>
      <c r="J479" s="218">
        <f>'Rekapitulacija Posebni dio'!H634</f>
        <v>0</v>
      </c>
    </row>
    <row r="480" spans="1:10" x14ac:dyDescent="0.25">
      <c r="A480" s="188"/>
      <c r="B480" s="150" t="s">
        <v>123</v>
      </c>
      <c r="C480" s="188"/>
      <c r="D480" s="188" t="s">
        <v>124</v>
      </c>
      <c r="E480" s="217" t="e">
        <f>E481+#REF!+#REF!+#REF!+#REF!+E483+E485</f>
        <v>#REF!</v>
      </c>
      <c r="F480" s="217" t="e">
        <f>F481+#REF!+#REF!+#REF!+#REF!+F483+F485</f>
        <v>#REF!</v>
      </c>
      <c r="G480" s="217">
        <f>G481+G483+G485</f>
        <v>2300</v>
      </c>
      <c r="H480" s="217">
        <f>H481+H483+H485</f>
        <v>2300</v>
      </c>
      <c r="I480" s="217">
        <f t="shared" ref="I480:J480" si="304">I481+I483+I485</f>
        <v>0</v>
      </c>
      <c r="J480" s="217">
        <f t="shared" si="304"/>
        <v>0</v>
      </c>
    </row>
    <row r="481" spans="1:10" x14ac:dyDescent="0.25">
      <c r="A481" s="188"/>
      <c r="B481" s="150" t="s">
        <v>125</v>
      </c>
      <c r="C481" s="188"/>
      <c r="D481" s="188" t="s">
        <v>126</v>
      </c>
      <c r="E481" s="217" t="e">
        <f>#REF!+E482</f>
        <v>#REF!</v>
      </c>
      <c r="F481" s="217" t="e">
        <f>#REF!+F482</f>
        <v>#REF!</v>
      </c>
      <c r="G481" s="217">
        <f>G482</f>
        <v>800</v>
      </c>
      <c r="H481" s="217">
        <f>H482</f>
        <v>800</v>
      </c>
      <c r="I481" s="217">
        <f t="shared" ref="I481:J481" si="305">I482</f>
        <v>0</v>
      </c>
      <c r="J481" s="217">
        <f t="shared" si="305"/>
        <v>0</v>
      </c>
    </row>
    <row r="482" spans="1:10" x14ac:dyDescent="0.25">
      <c r="A482" s="213"/>
      <c r="B482" s="214" t="s">
        <v>561</v>
      </c>
      <c r="C482" s="213"/>
      <c r="D482" s="213" t="s">
        <v>562</v>
      </c>
      <c r="E482" s="218">
        <f>'Rekapitulacija Posebni dio'!C637</f>
        <v>0</v>
      </c>
      <c r="F482" s="218">
        <f>'Rekapitulacija Posebni dio'!D637</f>
        <v>0</v>
      </c>
      <c r="G482" s="218">
        <f>'Rekapitulacija Posebni dio'!E637</f>
        <v>800</v>
      </c>
      <c r="H482" s="218">
        <f>'Rekapitulacija Posebni dio'!F637</f>
        <v>800</v>
      </c>
      <c r="I482" s="218">
        <f>'Rekapitulacija Posebni dio'!G637</f>
        <v>0</v>
      </c>
      <c r="J482" s="218">
        <f>'Rekapitulacija Posebni dio'!H637</f>
        <v>0</v>
      </c>
    </row>
    <row r="483" spans="1:10" x14ac:dyDescent="0.25">
      <c r="A483" s="188"/>
      <c r="B483" s="150" t="s">
        <v>215</v>
      </c>
      <c r="C483" s="188"/>
      <c r="D483" s="188" t="s">
        <v>135</v>
      </c>
      <c r="E483" s="217" t="e">
        <f t="shared" ref="E483:J483" si="306">SUM(E484)</f>
        <v>#REF!</v>
      </c>
      <c r="F483" s="217" t="e">
        <f t="shared" si="306"/>
        <v>#REF!</v>
      </c>
      <c r="G483" s="217">
        <f t="shared" si="306"/>
        <v>1000</v>
      </c>
      <c r="H483" s="217">
        <f t="shared" si="306"/>
        <v>1000</v>
      </c>
      <c r="I483" s="217">
        <f t="shared" si="306"/>
        <v>0</v>
      </c>
      <c r="J483" s="217">
        <f t="shared" si="306"/>
        <v>0</v>
      </c>
    </row>
    <row r="484" spans="1:10" x14ac:dyDescent="0.25">
      <c r="A484" s="188"/>
      <c r="B484" s="214" t="s">
        <v>514</v>
      </c>
      <c r="C484" s="213"/>
      <c r="D484" s="213" t="s">
        <v>438</v>
      </c>
      <c r="E484" s="218" t="e">
        <f>'Rekapitulacija Posebni dio'!C598+'Rekapitulacija Posebni dio'!C639+'Rekapitulacija Posebni dio'!#REF!</f>
        <v>#REF!</v>
      </c>
      <c r="F484" s="218" t="e">
        <f>'Rekapitulacija Posebni dio'!D598+'Rekapitulacija Posebni dio'!D639+'Rekapitulacija Posebni dio'!#REF!</f>
        <v>#REF!</v>
      </c>
      <c r="G484" s="218">
        <f>'Rekapitulacija Posebni dio'!E639</f>
        <v>1000</v>
      </c>
      <c r="H484" s="218">
        <f>'Rekapitulacija Posebni dio'!F639</f>
        <v>1000</v>
      </c>
      <c r="I484" s="218">
        <f>'Rekapitulacija Posebni dio'!G639</f>
        <v>0</v>
      </c>
      <c r="J484" s="218">
        <f>'Rekapitulacija Posebni dio'!H639</f>
        <v>0</v>
      </c>
    </row>
    <row r="485" spans="1:10" x14ac:dyDescent="0.25">
      <c r="A485" s="188"/>
      <c r="B485" s="150" t="s">
        <v>138</v>
      </c>
      <c r="C485" s="188"/>
      <c r="D485" s="188" t="s">
        <v>548</v>
      </c>
      <c r="E485" s="217" t="e">
        <f t="shared" ref="E485:J485" si="307">SUM(E486)</f>
        <v>#REF!</v>
      </c>
      <c r="F485" s="217" t="e">
        <f t="shared" si="307"/>
        <v>#REF!</v>
      </c>
      <c r="G485" s="217">
        <f t="shared" si="307"/>
        <v>500</v>
      </c>
      <c r="H485" s="217">
        <f t="shared" si="307"/>
        <v>500</v>
      </c>
      <c r="I485" s="217">
        <f t="shared" si="307"/>
        <v>0</v>
      </c>
      <c r="J485" s="217">
        <f t="shared" si="307"/>
        <v>0</v>
      </c>
    </row>
    <row r="486" spans="1:10" x14ac:dyDescent="0.25">
      <c r="A486" s="188"/>
      <c r="B486" s="214" t="s">
        <v>515</v>
      </c>
      <c r="C486" s="213"/>
      <c r="D486" s="213" t="s">
        <v>311</v>
      </c>
      <c r="E486" s="218" t="e">
        <f>'Rekapitulacija Posebni dio'!C369+'Rekapitulacija Posebni dio'!C600+'Rekapitulacija Posebni dio'!C641+'Rekapitulacija Posebni dio'!C733+'Rekapitulacija Posebni dio'!#REF!+'Rekapitulacija Posebni dio'!C680</f>
        <v>#REF!</v>
      </c>
      <c r="F486" s="218" t="e">
        <f>'Rekapitulacija Posebni dio'!D369+'Rekapitulacija Posebni dio'!D600+'Rekapitulacija Posebni dio'!D641+'Rekapitulacija Posebni dio'!D733+'Rekapitulacija Posebni dio'!#REF!+'Rekapitulacija Posebni dio'!D680</f>
        <v>#REF!</v>
      </c>
      <c r="G486" s="218">
        <f>'Rekapitulacija Posebni dio'!E641</f>
        <v>500</v>
      </c>
      <c r="H486" s="218">
        <f>'Rekapitulacija Posebni dio'!F641</f>
        <v>500</v>
      </c>
      <c r="I486" s="218">
        <f>'Rekapitulacija Posebni dio'!G641</f>
        <v>0</v>
      </c>
      <c r="J486" s="218">
        <f>'Rekapitulacija Posebni dio'!H641</f>
        <v>0</v>
      </c>
    </row>
    <row r="487" spans="1:10" x14ac:dyDescent="0.25">
      <c r="A487" s="188"/>
      <c r="B487" s="150" t="s">
        <v>216</v>
      </c>
      <c r="C487" s="188"/>
      <c r="D487" s="188" t="s">
        <v>217</v>
      </c>
      <c r="E487" s="217" t="e">
        <f>E488+#REF!</f>
        <v>#REF!</v>
      </c>
      <c r="F487" s="217" t="e">
        <f>F488+#REF!</f>
        <v>#REF!</v>
      </c>
      <c r="G487" s="217">
        <f>G488</f>
        <v>1000</v>
      </c>
      <c r="H487" s="217">
        <f>H488</f>
        <v>1000</v>
      </c>
      <c r="I487" s="217">
        <f t="shared" ref="I487:J487" si="308">I488</f>
        <v>0</v>
      </c>
      <c r="J487" s="217">
        <f t="shared" si="308"/>
        <v>0</v>
      </c>
    </row>
    <row r="488" spans="1:10" x14ac:dyDescent="0.25">
      <c r="A488" s="188"/>
      <c r="B488" s="150" t="s">
        <v>218</v>
      </c>
      <c r="C488" s="188"/>
      <c r="D488" s="188" t="s">
        <v>145</v>
      </c>
      <c r="E488" s="217">
        <f>E489</f>
        <v>0</v>
      </c>
      <c r="F488" s="217">
        <f t="shared" ref="F488:J488" si="309">F489</f>
        <v>0</v>
      </c>
      <c r="G488" s="217">
        <f t="shared" si="309"/>
        <v>1000</v>
      </c>
      <c r="H488" s="217">
        <f t="shared" si="309"/>
        <v>1000</v>
      </c>
      <c r="I488" s="217">
        <f t="shared" si="309"/>
        <v>0</v>
      </c>
      <c r="J488" s="217">
        <f t="shared" si="309"/>
        <v>0</v>
      </c>
    </row>
    <row r="489" spans="1:10" x14ac:dyDescent="0.25">
      <c r="A489" s="188"/>
      <c r="B489" s="214" t="s">
        <v>569</v>
      </c>
      <c r="C489" s="213"/>
      <c r="D489" s="213" t="s">
        <v>145</v>
      </c>
      <c r="E489" s="218">
        <f>'Rekapitulacija Posebni dio'!C372+'Rekapitulacija Posebni dio'!C644</f>
        <v>0</v>
      </c>
      <c r="F489" s="218">
        <f>'Rekapitulacija Posebni dio'!D372+'Rekapitulacija Posebni dio'!D644</f>
        <v>0</v>
      </c>
      <c r="G489" s="218">
        <f>'Rekapitulacija Posebni dio'!E372+'Rekapitulacija Posebni dio'!E644</f>
        <v>1000</v>
      </c>
      <c r="H489" s="218">
        <f>'Rekapitulacija Posebni dio'!F372+'Rekapitulacija Posebni dio'!F644</f>
        <v>1000</v>
      </c>
      <c r="I489" s="218">
        <f>'Rekapitulacija Posebni dio'!G372+'Rekapitulacija Posebni dio'!G644</f>
        <v>0</v>
      </c>
      <c r="J489" s="218">
        <f>'Rekapitulacija Posebni dio'!H372+'Rekapitulacija Posebni dio'!H644</f>
        <v>0</v>
      </c>
    </row>
    <row r="490" spans="1:10" hidden="1" x14ac:dyDescent="0.25">
      <c r="A490" s="230">
        <v>4</v>
      </c>
      <c r="B490" s="231"/>
      <c r="C490" s="232"/>
      <c r="D490" s="233" t="s">
        <v>171</v>
      </c>
      <c r="E490" s="249">
        <f t="shared" ref="E490:J491" si="310">E491</f>
        <v>0</v>
      </c>
      <c r="F490" s="249">
        <f t="shared" si="310"/>
        <v>0</v>
      </c>
      <c r="G490" s="249">
        <f t="shared" si="310"/>
        <v>0</v>
      </c>
      <c r="H490" s="249">
        <f t="shared" si="310"/>
        <v>0</v>
      </c>
      <c r="I490" s="249">
        <f t="shared" si="310"/>
        <v>0</v>
      </c>
      <c r="J490" s="249">
        <f t="shared" si="310"/>
        <v>0</v>
      </c>
    </row>
    <row r="491" spans="1:10" hidden="1" x14ac:dyDescent="0.25">
      <c r="A491" s="188"/>
      <c r="B491" s="132">
        <v>42</v>
      </c>
      <c r="C491" s="199"/>
      <c r="D491" s="212" t="s">
        <v>180</v>
      </c>
      <c r="E491" s="247">
        <f t="shared" si="310"/>
        <v>0</v>
      </c>
      <c r="F491" s="247">
        <f t="shared" si="310"/>
        <v>0</v>
      </c>
      <c r="G491" s="247">
        <f t="shared" si="310"/>
        <v>0</v>
      </c>
      <c r="H491" s="247">
        <f t="shared" si="310"/>
        <v>0</v>
      </c>
      <c r="I491" s="247">
        <f t="shared" si="310"/>
        <v>0</v>
      </c>
      <c r="J491" s="247">
        <f t="shared" si="310"/>
        <v>0</v>
      </c>
    </row>
    <row r="492" spans="1:10" hidden="1" x14ac:dyDescent="0.25">
      <c r="A492" s="188"/>
      <c r="B492" s="150">
        <v>422</v>
      </c>
      <c r="C492" s="188"/>
      <c r="D492" s="188" t="s">
        <v>181</v>
      </c>
      <c r="E492" s="217">
        <f>E493+E494</f>
        <v>0</v>
      </c>
      <c r="F492" s="217">
        <f t="shared" ref="F492:J492" si="311">F493+F494</f>
        <v>0</v>
      </c>
      <c r="G492" s="217">
        <f t="shared" ref="G492" si="312">G493+G494</f>
        <v>0</v>
      </c>
      <c r="H492" s="217">
        <f t="shared" si="311"/>
        <v>0</v>
      </c>
      <c r="I492" s="217">
        <f t="shared" si="311"/>
        <v>0</v>
      </c>
      <c r="J492" s="217">
        <f t="shared" si="311"/>
        <v>0</v>
      </c>
    </row>
    <row r="493" spans="1:10" hidden="1" x14ac:dyDescent="0.25">
      <c r="A493" s="188"/>
      <c r="B493" s="150" t="s">
        <v>182</v>
      </c>
      <c r="C493" s="188"/>
      <c r="D493" s="188" t="s">
        <v>183</v>
      </c>
      <c r="E493" s="217"/>
      <c r="F493" s="217"/>
      <c r="G493" s="217"/>
      <c r="H493" s="217"/>
      <c r="I493" s="217"/>
      <c r="J493" s="217"/>
    </row>
    <row r="494" spans="1:10" hidden="1" x14ac:dyDescent="0.25">
      <c r="A494" s="188"/>
      <c r="B494" s="150" t="s">
        <v>226</v>
      </c>
      <c r="C494" s="188"/>
      <c r="D494" s="188" t="s">
        <v>187</v>
      </c>
      <c r="E494" s="217">
        <f>E495</f>
        <v>0</v>
      </c>
      <c r="F494" s="217">
        <f t="shared" ref="F494:J494" si="313">F495</f>
        <v>0</v>
      </c>
      <c r="G494" s="217">
        <f t="shared" si="313"/>
        <v>0</v>
      </c>
      <c r="H494" s="217">
        <f t="shared" si="313"/>
        <v>0</v>
      </c>
      <c r="I494" s="217">
        <f t="shared" si="313"/>
        <v>0</v>
      </c>
      <c r="J494" s="217">
        <f t="shared" si="313"/>
        <v>0</v>
      </c>
    </row>
    <row r="495" spans="1:10" hidden="1" x14ac:dyDescent="0.25">
      <c r="A495" s="188"/>
      <c r="B495" s="214" t="s">
        <v>518</v>
      </c>
      <c r="C495" s="213"/>
      <c r="D495" s="213" t="s">
        <v>465</v>
      </c>
      <c r="E495" s="218">
        <f>'Rekapitulacija Posebni dio'!C740</f>
        <v>0</v>
      </c>
      <c r="F495" s="218">
        <f>'Rekapitulacija Posebni dio'!D740</f>
        <v>0</v>
      </c>
      <c r="G495" s="218">
        <f>'Rekapitulacija Posebni dio'!E740</f>
        <v>0</v>
      </c>
      <c r="H495" s="218">
        <f>'Rekapitulacija Posebni dio'!F740</f>
        <v>0</v>
      </c>
      <c r="I495" s="218">
        <f>'Rekapitulacija Posebni dio'!G740</f>
        <v>0</v>
      </c>
      <c r="J495" s="218">
        <f>'Rekapitulacija Posebni dio'!H740</f>
        <v>0</v>
      </c>
    </row>
    <row r="496" spans="1:10" x14ac:dyDescent="0.25">
      <c r="A496" s="238"/>
      <c r="B496" s="239"/>
      <c r="C496" s="241">
        <v>52</v>
      </c>
      <c r="D496" s="242" t="s">
        <v>695</v>
      </c>
      <c r="E496" s="243" t="e">
        <f t="shared" ref="E496:J496" si="314">E455+E490</f>
        <v>#REF!</v>
      </c>
      <c r="F496" s="243" t="e">
        <f t="shared" si="314"/>
        <v>#REF!</v>
      </c>
      <c r="G496" s="243">
        <f t="shared" si="314"/>
        <v>82314.61</v>
      </c>
      <c r="H496" s="243">
        <f t="shared" si="314"/>
        <v>82314.61</v>
      </c>
      <c r="I496" s="243">
        <f t="shared" si="314"/>
        <v>68314.61</v>
      </c>
      <c r="J496" s="243">
        <f t="shared" si="314"/>
        <v>68314.61</v>
      </c>
    </row>
    <row r="497" spans="1:10" x14ac:dyDescent="0.25">
      <c r="A497" s="208" t="s">
        <v>83</v>
      </c>
      <c r="B497" s="208"/>
      <c r="C497" s="209"/>
      <c r="D497" s="210" t="s">
        <v>84</v>
      </c>
      <c r="E497" s="211" t="e">
        <f>E498+E502</f>
        <v>#REF!</v>
      </c>
      <c r="F497" s="211" t="e">
        <f>F498+F502</f>
        <v>#REF!</v>
      </c>
      <c r="G497" s="211">
        <f>G498+G502</f>
        <v>156200</v>
      </c>
      <c r="H497" s="211">
        <f>H498+H502</f>
        <v>156200</v>
      </c>
      <c r="I497" s="211">
        <f t="shared" ref="I497:J497" si="315">I498+I502</f>
        <v>159324</v>
      </c>
      <c r="J497" s="211">
        <f t="shared" si="315"/>
        <v>162510.47999999998</v>
      </c>
    </row>
    <row r="498" spans="1:10" x14ac:dyDescent="0.25">
      <c r="A498" s="188"/>
      <c r="B498" s="132">
        <v>31</v>
      </c>
      <c r="C498" s="199"/>
      <c r="D498" s="212" t="s">
        <v>85</v>
      </c>
      <c r="E498" s="135" t="e">
        <f>E499+#REF!+#REF!</f>
        <v>#REF!</v>
      </c>
      <c r="F498" s="135" t="e">
        <f>F499+#REF!+#REF!</f>
        <v>#REF!</v>
      </c>
      <c r="G498" s="135">
        <f t="shared" ref="G498:H500" si="316">G499</f>
        <v>142132.5</v>
      </c>
      <c r="H498" s="135">
        <f t="shared" si="316"/>
        <v>142132.5</v>
      </c>
      <c r="I498" s="135">
        <f t="shared" ref="I498:J500" si="317">I499</f>
        <v>144975.15</v>
      </c>
      <c r="J498" s="135">
        <f t="shared" si="317"/>
        <v>147874.65</v>
      </c>
    </row>
    <row r="499" spans="1:10" x14ac:dyDescent="0.25">
      <c r="A499" s="188"/>
      <c r="B499" s="150">
        <v>311</v>
      </c>
      <c r="C499" s="213"/>
      <c r="D499" s="188" t="s">
        <v>86</v>
      </c>
      <c r="E499" s="153">
        <f>SUM(E500:E501)</f>
        <v>0</v>
      </c>
      <c r="F499" s="153">
        <f>SUM(F500:F501)</f>
        <v>0</v>
      </c>
      <c r="G499" s="153">
        <f t="shared" si="316"/>
        <v>142132.5</v>
      </c>
      <c r="H499" s="153">
        <f t="shared" si="316"/>
        <v>142132.5</v>
      </c>
      <c r="I499" s="153">
        <f t="shared" si="317"/>
        <v>144975.15</v>
      </c>
      <c r="J499" s="153">
        <f t="shared" si="317"/>
        <v>147874.65</v>
      </c>
    </row>
    <row r="500" spans="1:10" s="129" customFormat="1" x14ac:dyDescent="0.25">
      <c r="A500" s="188"/>
      <c r="B500" s="150">
        <v>3111</v>
      </c>
      <c r="C500" s="188"/>
      <c r="D500" s="188" t="s">
        <v>87</v>
      </c>
      <c r="E500" s="153"/>
      <c r="F500" s="153"/>
      <c r="G500" s="153">
        <f t="shared" si="316"/>
        <v>142132.5</v>
      </c>
      <c r="H500" s="153">
        <f t="shared" si="316"/>
        <v>142132.5</v>
      </c>
      <c r="I500" s="153">
        <f t="shared" si="317"/>
        <v>144975.15</v>
      </c>
      <c r="J500" s="153">
        <f t="shared" si="317"/>
        <v>147874.65</v>
      </c>
    </row>
    <row r="501" spans="1:10" x14ac:dyDescent="0.25">
      <c r="A501" s="213"/>
      <c r="B501" s="214" t="s">
        <v>480</v>
      </c>
      <c r="C501" s="213"/>
      <c r="D501" s="213" t="s">
        <v>87</v>
      </c>
      <c r="E501" s="161"/>
      <c r="F501" s="161"/>
      <c r="G501" s="161">
        <f>'Rekapitulacija Posebni dio'!E651</f>
        <v>142132.5</v>
      </c>
      <c r="H501" s="161">
        <f>'Rekapitulacija Posebni dio'!F651</f>
        <v>142132.5</v>
      </c>
      <c r="I501" s="161">
        <f>'Rekapitulacija Posebni dio'!G651</f>
        <v>144975.15</v>
      </c>
      <c r="J501" s="161">
        <f>'Rekapitulacija Posebni dio'!H651</f>
        <v>147874.65</v>
      </c>
    </row>
    <row r="502" spans="1:10" x14ac:dyDescent="0.25">
      <c r="A502" s="188"/>
      <c r="B502" s="132">
        <v>32</v>
      </c>
      <c r="C502" s="199"/>
      <c r="D502" s="212" t="s">
        <v>99</v>
      </c>
      <c r="E502" s="135" t="e">
        <f>E503+#REF!+E508</f>
        <v>#REF!</v>
      </c>
      <c r="F502" s="135" t="e">
        <f>F503+#REF!+F508</f>
        <v>#REF!</v>
      </c>
      <c r="G502" s="135">
        <f>G503+G508+G513</f>
        <v>14067.5</v>
      </c>
      <c r="H502" s="135">
        <f>H503+H508+H513</f>
        <v>14067.5</v>
      </c>
      <c r="I502" s="135">
        <f t="shared" ref="I502:J502" si="318">I503+I508+I513</f>
        <v>14348.85</v>
      </c>
      <c r="J502" s="135">
        <f t="shared" si="318"/>
        <v>14635.83</v>
      </c>
    </row>
    <row r="503" spans="1:10" x14ac:dyDescent="0.25">
      <c r="A503" s="188"/>
      <c r="B503" s="150">
        <v>321</v>
      </c>
      <c r="C503" s="188"/>
      <c r="D503" s="188" t="s">
        <v>100</v>
      </c>
      <c r="E503" s="153">
        <f>SUM(E504:E505)</f>
        <v>0</v>
      </c>
      <c r="F503" s="153">
        <f>SUM(F504:F505)</f>
        <v>0</v>
      </c>
      <c r="G503" s="153">
        <f>G504+G506</f>
        <v>4406.16</v>
      </c>
      <c r="H503" s="153">
        <f>H504+H506</f>
        <v>4406.16</v>
      </c>
      <c r="I503" s="153">
        <f>I504+I506</f>
        <v>4481.8500000000004</v>
      </c>
      <c r="J503" s="153">
        <f>J504+J506</f>
        <v>4557.6499999999996</v>
      </c>
    </row>
    <row r="504" spans="1:10" s="129" customFormat="1" x14ac:dyDescent="0.25">
      <c r="A504" s="188"/>
      <c r="B504" s="150" t="s">
        <v>101</v>
      </c>
      <c r="C504" s="188"/>
      <c r="D504" s="188" t="s">
        <v>102</v>
      </c>
      <c r="E504" s="153"/>
      <c r="F504" s="153"/>
      <c r="G504" s="153">
        <f>G505</f>
        <v>2606.16</v>
      </c>
      <c r="H504" s="153">
        <f>H505</f>
        <v>2606.16</v>
      </c>
      <c r="I504" s="153">
        <f t="shared" ref="I504:J504" si="319">I505</f>
        <v>2656.16</v>
      </c>
      <c r="J504" s="153">
        <f t="shared" si="319"/>
        <v>2706.96</v>
      </c>
    </row>
    <row r="505" spans="1:10" x14ac:dyDescent="0.25">
      <c r="A505" s="213"/>
      <c r="B505" s="214" t="s">
        <v>521</v>
      </c>
      <c r="C505" s="213"/>
      <c r="D505" s="213" t="s">
        <v>403</v>
      </c>
      <c r="E505" s="161"/>
      <c r="F505" s="161"/>
      <c r="G505" s="161">
        <f>'Rekapitulacija Posebni dio'!E664</f>
        <v>2606.16</v>
      </c>
      <c r="H505" s="161">
        <f>'Rekapitulacija Posebni dio'!F664</f>
        <v>2606.16</v>
      </c>
      <c r="I505" s="161">
        <f>'Rekapitulacija Posebni dio'!G664</f>
        <v>2656.16</v>
      </c>
      <c r="J505" s="161">
        <f>'Rekapitulacija Posebni dio'!H664</f>
        <v>2706.96</v>
      </c>
    </row>
    <row r="506" spans="1:10" s="129" customFormat="1" x14ac:dyDescent="0.25">
      <c r="A506" s="188"/>
      <c r="B506" s="150" t="s">
        <v>105</v>
      </c>
      <c r="C506" s="188"/>
      <c r="D506" s="221" t="s">
        <v>106</v>
      </c>
      <c r="E506" s="153"/>
      <c r="F506" s="153"/>
      <c r="G506" s="153">
        <f>G507</f>
        <v>1800</v>
      </c>
      <c r="H506" s="153">
        <f>H507</f>
        <v>1800</v>
      </c>
      <c r="I506" s="153">
        <f t="shared" ref="I506:J506" si="320">I507</f>
        <v>1825.69</v>
      </c>
      <c r="J506" s="153">
        <f t="shared" si="320"/>
        <v>1850.69</v>
      </c>
    </row>
    <row r="507" spans="1:10" x14ac:dyDescent="0.25">
      <c r="A507" s="213"/>
      <c r="B507" s="214" t="s">
        <v>530</v>
      </c>
      <c r="C507" s="213"/>
      <c r="D507" s="220" t="s">
        <v>407</v>
      </c>
      <c r="E507" s="161"/>
      <c r="F507" s="161"/>
      <c r="G507" s="161">
        <f>'Rekapitulacija Posebni dio'!E670</f>
        <v>1800</v>
      </c>
      <c r="H507" s="161">
        <f>'Rekapitulacija Posebni dio'!F670</f>
        <v>1800</v>
      </c>
      <c r="I507" s="161">
        <f>'Rekapitulacija Posebni dio'!G670</f>
        <v>1825.69</v>
      </c>
      <c r="J507" s="161">
        <f>'Rekapitulacija Posebni dio'!H670</f>
        <v>1850.69</v>
      </c>
    </row>
    <row r="508" spans="1:10" x14ac:dyDescent="0.25">
      <c r="A508" s="188"/>
      <c r="B508" s="150" t="s">
        <v>123</v>
      </c>
      <c r="C508" s="188"/>
      <c r="D508" s="221" t="s">
        <v>124</v>
      </c>
      <c r="E508" s="153">
        <f t="shared" ref="E508" si="321">SUM(E509:E509)</f>
        <v>0</v>
      </c>
      <c r="F508" s="153">
        <f>SUM(F509:F509)</f>
        <v>0</v>
      </c>
      <c r="G508" s="153">
        <f>G509+G511</f>
        <v>7055.18</v>
      </c>
      <c r="H508" s="153">
        <f>H509+H511</f>
        <v>7055.18</v>
      </c>
      <c r="I508" s="153">
        <f t="shared" ref="I508:J508" si="322">I509+I511</f>
        <v>7167</v>
      </c>
      <c r="J508" s="153">
        <f t="shared" si="322"/>
        <v>7278.18</v>
      </c>
    </row>
    <row r="509" spans="1:10" s="129" customFormat="1" x14ac:dyDescent="0.25">
      <c r="A509" s="188"/>
      <c r="B509" s="150" t="s">
        <v>129</v>
      </c>
      <c r="C509" s="188"/>
      <c r="D509" s="221" t="s">
        <v>130</v>
      </c>
      <c r="E509" s="153"/>
      <c r="F509" s="153"/>
      <c r="G509" s="153">
        <f>G510</f>
        <v>2000</v>
      </c>
      <c r="H509" s="153">
        <f>H510</f>
        <v>2000</v>
      </c>
      <c r="I509" s="153">
        <f t="shared" ref="I509:J509" si="323">I510</f>
        <v>2067</v>
      </c>
      <c r="J509" s="153">
        <f t="shared" si="323"/>
        <v>2134</v>
      </c>
    </row>
    <row r="510" spans="1:10" x14ac:dyDescent="0.25">
      <c r="A510" s="188"/>
      <c r="B510" s="214" t="s">
        <v>629</v>
      </c>
      <c r="C510" s="188"/>
      <c r="D510" s="220" t="s">
        <v>130</v>
      </c>
      <c r="E510" s="161"/>
      <c r="F510" s="161"/>
      <c r="G510" s="161">
        <f>'Rekapitulacija Posebni dio'!E676</f>
        <v>2000</v>
      </c>
      <c r="H510" s="161">
        <f>'Rekapitulacija Posebni dio'!F676</f>
        <v>2000</v>
      </c>
      <c r="I510" s="161">
        <f>'Rekapitulacija Posebni dio'!G676</f>
        <v>2067</v>
      </c>
      <c r="J510" s="161">
        <f>'Rekapitulacija Posebni dio'!H676</f>
        <v>2134</v>
      </c>
    </row>
    <row r="511" spans="1:10" x14ac:dyDescent="0.25">
      <c r="A511" s="188"/>
      <c r="B511" s="150" t="s">
        <v>138</v>
      </c>
      <c r="C511" s="188"/>
      <c r="D511" s="221" t="s">
        <v>139</v>
      </c>
      <c r="E511" s="153"/>
      <c r="F511" s="153"/>
      <c r="G511" s="153">
        <f>G512</f>
        <v>5055.18</v>
      </c>
      <c r="H511" s="153">
        <f>H512</f>
        <v>5055.18</v>
      </c>
      <c r="I511" s="153">
        <f t="shared" ref="I511:J511" si="324">I512</f>
        <v>5100</v>
      </c>
      <c r="J511" s="153">
        <f t="shared" si="324"/>
        <v>5144.18</v>
      </c>
    </row>
    <row r="512" spans="1:10" x14ac:dyDescent="0.25">
      <c r="A512" s="188"/>
      <c r="B512" s="214" t="s">
        <v>515</v>
      </c>
      <c r="C512" s="188"/>
      <c r="D512" s="220" t="s">
        <v>311</v>
      </c>
      <c r="E512" s="161"/>
      <c r="F512" s="161"/>
      <c r="G512" s="161">
        <f>'Rekapitulacija Posebni dio'!E680</f>
        <v>5055.18</v>
      </c>
      <c r="H512" s="161">
        <f>'Rekapitulacija Posebni dio'!F680</f>
        <v>5055.18</v>
      </c>
      <c r="I512" s="161">
        <f>'Rekapitulacija Posebni dio'!G680</f>
        <v>5100</v>
      </c>
      <c r="J512" s="161">
        <f>'Rekapitulacija Posebni dio'!H680</f>
        <v>5144.18</v>
      </c>
    </row>
    <row r="513" spans="1:10" x14ac:dyDescent="0.25">
      <c r="A513" s="188"/>
      <c r="B513" s="364" t="s">
        <v>579</v>
      </c>
      <c r="C513" s="188"/>
      <c r="D513" s="365" t="s">
        <v>633</v>
      </c>
      <c r="E513" s="153"/>
      <c r="F513" s="153"/>
      <c r="G513" s="153">
        <f>G514</f>
        <v>2606.16</v>
      </c>
      <c r="H513" s="153">
        <f>H514</f>
        <v>2606.16</v>
      </c>
      <c r="I513" s="153">
        <f t="shared" ref="I513:J514" si="325">I514</f>
        <v>2700</v>
      </c>
      <c r="J513" s="153">
        <f t="shared" si="325"/>
        <v>2800</v>
      </c>
    </row>
    <row r="514" spans="1:10" x14ac:dyDescent="0.25">
      <c r="A514" s="188"/>
      <c r="B514" s="364" t="s">
        <v>580</v>
      </c>
      <c r="C514" s="188"/>
      <c r="D514" s="365" t="s">
        <v>633</v>
      </c>
      <c r="E514" s="153"/>
      <c r="F514" s="153"/>
      <c r="G514" s="153">
        <f>G515</f>
        <v>2606.16</v>
      </c>
      <c r="H514" s="153">
        <f>H515</f>
        <v>2606.16</v>
      </c>
      <c r="I514" s="153">
        <f t="shared" si="325"/>
        <v>2700</v>
      </c>
      <c r="J514" s="153">
        <f t="shared" si="325"/>
        <v>2800</v>
      </c>
    </row>
    <row r="515" spans="1:10" x14ac:dyDescent="0.25">
      <c r="A515" s="188"/>
      <c r="B515" s="366" t="s">
        <v>582</v>
      </c>
      <c r="C515" s="188"/>
      <c r="D515" s="286" t="s">
        <v>644</v>
      </c>
      <c r="E515" s="161"/>
      <c r="F515" s="161"/>
      <c r="G515" s="161">
        <f>'Rekapitulacija Posebni dio'!E683</f>
        <v>2606.16</v>
      </c>
      <c r="H515" s="161">
        <f>'Rekapitulacija Posebni dio'!F683</f>
        <v>2606.16</v>
      </c>
      <c r="I515" s="161">
        <f>'Rekapitulacija Posebni dio'!G683</f>
        <v>2700</v>
      </c>
      <c r="J515" s="161">
        <f>'Rekapitulacija Posebni dio'!H683</f>
        <v>2800</v>
      </c>
    </row>
    <row r="516" spans="1:10" x14ac:dyDescent="0.25">
      <c r="A516" s="188"/>
      <c r="B516" s="366"/>
      <c r="C516" s="241" t="s">
        <v>679</v>
      </c>
      <c r="D516" s="242" t="s">
        <v>703</v>
      </c>
      <c r="E516" s="243"/>
      <c r="F516" s="243"/>
      <c r="G516" s="243">
        <f>G497</f>
        <v>156200</v>
      </c>
      <c r="H516" s="243">
        <f>H497</f>
        <v>156200</v>
      </c>
      <c r="I516" s="243">
        <f t="shared" ref="I516:J516" si="326">I497</f>
        <v>159324</v>
      </c>
      <c r="J516" s="243">
        <f t="shared" si="326"/>
        <v>162510.47999999998</v>
      </c>
    </row>
    <row r="517" spans="1:10" x14ac:dyDescent="0.25">
      <c r="A517" s="238"/>
      <c r="B517" s="239"/>
      <c r="C517" s="241" t="s">
        <v>697</v>
      </c>
      <c r="D517" s="242" t="s">
        <v>698</v>
      </c>
      <c r="E517" s="243" t="e">
        <f>E497+#REF!</f>
        <v>#REF!</v>
      </c>
      <c r="F517" s="243" t="e">
        <f>F497+#REF!</f>
        <v>#REF!</v>
      </c>
      <c r="G517" s="243">
        <f>G516</f>
        <v>156200</v>
      </c>
      <c r="H517" s="243">
        <f>H516</f>
        <v>156200</v>
      </c>
      <c r="I517" s="243">
        <f t="shared" ref="I517:J517" si="327">I516</f>
        <v>159324</v>
      </c>
      <c r="J517" s="243">
        <f t="shared" si="327"/>
        <v>162510.47999999998</v>
      </c>
    </row>
    <row r="518" spans="1:10" s="117" customFormat="1" x14ac:dyDescent="0.25">
      <c r="A518" s="208" t="s">
        <v>83</v>
      </c>
      <c r="B518" s="208"/>
      <c r="C518" s="209"/>
      <c r="D518" s="210" t="s">
        <v>84</v>
      </c>
      <c r="E518" s="211" t="e">
        <f>E519+E532+#REF!+#REF!+#REF!+#REF!</f>
        <v>#REF!</v>
      </c>
      <c r="F518" s="211" t="e">
        <f>F519+F532+#REF!+#REF!+#REF!+#REF!</f>
        <v>#REF!</v>
      </c>
      <c r="G518" s="211">
        <f>G519+G532+G547</f>
        <v>437409.22</v>
      </c>
      <c r="H518" s="211">
        <f>H519+H532+H547</f>
        <v>437409.22</v>
      </c>
      <c r="I518" s="211">
        <f t="shared" ref="I518:J518" si="328">I519+I532+I547</f>
        <v>365485.22</v>
      </c>
      <c r="J518" s="211">
        <f t="shared" si="328"/>
        <v>262923.40000000002</v>
      </c>
    </row>
    <row r="519" spans="1:10" s="117" customFormat="1" x14ac:dyDescent="0.25">
      <c r="A519" s="188"/>
      <c r="B519" s="132">
        <v>31</v>
      </c>
      <c r="C519" s="199"/>
      <c r="D519" s="212" t="s">
        <v>85</v>
      </c>
      <c r="E519" s="135" t="e">
        <f t="shared" ref="E519:J519" si="329">E520+E523+E529</f>
        <v>#REF!</v>
      </c>
      <c r="F519" s="135" t="e">
        <f t="shared" si="329"/>
        <v>#REF!</v>
      </c>
      <c r="G519" s="135">
        <f t="shared" si="329"/>
        <v>395904.89999999997</v>
      </c>
      <c r="H519" s="135">
        <f t="shared" si="329"/>
        <v>395904.89999999997</v>
      </c>
      <c r="I519" s="135">
        <f t="shared" si="329"/>
        <v>323766.89999999997</v>
      </c>
      <c r="J519" s="135">
        <f t="shared" si="329"/>
        <v>232227.62</v>
      </c>
    </row>
    <row r="520" spans="1:10" s="130" customFormat="1" x14ac:dyDescent="0.25">
      <c r="A520" s="188"/>
      <c r="B520" s="150">
        <v>311</v>
      </c>
      <c r="C520" s="213"/>
      <c r="D520" s="188" t="s">
        <v>86</v>
      </c>
      <c r="E520" s="153" t="e">
        <f>E521+#REF!+#REF!</f>
        <v>#REF!</v>
      </c>
      <c r="F520" s="153" t="e">
        <f>F521+#REF!+#REF!</f>
        <v>#REF!</v>
      </c>
      <c r="G520" s="153">
        <f>G521</f>
        <v>362148.92</v>
      </c>
      <c r="H520" s="153">
        <f>H521</f>
        <v>362148.92</v>
      </c>
      <c r="I520" s="153">
        <f t="shared" ref="I520:J520" si="330">I521</f>
        <v>288648.92</v>
      </c>
      <c r="J520" s="153">
        <f t="shared" si="330"/>
        <v>201425.22999999998</v>
      </c>
    </row>
    <row r="521" spans="1:10" s="130" customFormat="1" x14ac:dyDescent="0.25">
      <c r="A521" s="188"/>
      <c r="B521" s="150">
        <v>3111</v>
      </c>
      <c r="C521" s="213"/>
      <c r="D521" s="188" t="s">
        <v>87</v>
      </c>
      <c r="E521" s="153">
        <f>SUM(E522:E522)</f>
        <v>0</v>
      </c>
      <c r="F521" s="153">
        <f>SUM(F522:F522)</f>
        <v>0</v>
      </c>
      <c r="G521" s="153">
        <f>SUM(G522:G522)</f>
        <v>362148.92</v>
      </c>
      <c r="H521" s="153">
        <f>SUM(H522:H522)</f>
        <v>362148.92</v>
      </c>
      <c r="I521" s="153">
        <f t="shared" ref="I521:J521" si="331">SUM(I522:I522)</f>
        <v>288648.92</v>
      </c>
      <c r="J521" s="153">
        <f t="shared" si="331"/>
        <v>201425.22999999998</v>
      </c>
    </row>
    <row r="522" spans="1:10" s="130" customFormat="1" x14ac:dyDescent="0.25">
      <c r="A522" s="188"/>
      <c r="B522" s="214" t="s">
        <v>480</v>
      </c>
      <c r="C522" s="213"/>
      <c r="D522" s="213" t="s">
        <v>87</v>
      </c>
      <c r="E522" s="161">
        <f>'Rekapitulacija Posebni dio'!C282</f>
        <v>0</v>
      </c>
      <c r="F522" s="161">
        <f>'Rekapitulacija Posebni dio'!D282</f>
        <v>0</v>
      </c>
      <c r="G522" s="161">
        <f>'Rekapitulacija Posebni dio'!E574</f>
        <v>362148.92</v>
      </c>
      <c r="H522" s="161">
        <f>'Rekapitulacija Posebni dio'!F574</f>
        <v>362148.92</v>
      </c>
      <c r="I522" s="161">
        <f>'Rekapitulacija Posebni dio'!G574</f>
        <v>288648.92</v>
      </c>
      <c r="J522" s="161">
        <f>'Rekapitulacija Posebni dio'!H574</f>
        <v>201425.22999999998</v>
      </c>
    </row>
    <row r="523" spans="1:10" s="216" customFormat="1" x14ac:dyDescent="0.25">
      <c r="A523" s="188"/>
      <c r="B523" s="150" t="s">
        <v>94</v>
      </c>
      <c r="C523" s="188"/>
      <c r="D523" s="188" t="s">
        <v>95</v>
      </c>
      <c r="E523" s="153">
        <f t="shared" ref="E523:J523" si="332">SUM(E524)</f>
        <v>0</v>
      </c>
      <c r="F523" s="153">
        <f t="shared" si="332"/>
        <v>0</v>
      </c>
      <c r="G523" s="153">
        <f t="shared" si="332"/>
        <v>5495.42</v>
      </c>
      <c r="H523" s="153">
        <f t="shared" si="332"/>
        <v>5495.42</v>
      </c>
      <c r="I523" s="153">
        <f t="shared" si="332"/>
        <v>5495.42</v>
      </c>
      <c r="J523" s="153">
        <f t="shared" si="332"/>
        <v>4500</v>
      </c>
    </row>
    <row r="524" spans="1:10" s="216" customFormat="1" x14ac:dyDescent="0.25">
      <c r="A524" s="188"/>
      <c r="B524" s="150" t="s">
        <v>96</v>
      </c>
      <c r="C524" s="188"/>
      <c r="D524" s="188" t="s">
        <v>95</v>
      </c>
      <c r="E524" s="153">
        <f t="shared" ref="E524:J524" si="333">SUM(E525:E528)</f>
        <v>0</v>
      </c>
      <c r="F524" s="153">
        <f t="shared" si="333"/>
        <v>0</v>
      </c>
      <c r="G524" s="153">
        <f t="shared" si="333"/>
        <v>5495.42</v>
      </c>
      <c r="H524" s="153">
        <f t="shared" si="333"/>
        <v>5495.42</v>
      </c>
      <c r="I524" s="153">
        <f t="shared" si="333"/>
        <v>5495.42</v>
      </c>
      <c r="J524" s="153">
        <f t="shared" si="333"/>
        <v>4500</v>
      </c>
    </row>
    <row r="525" spans="1:10" s="216" customFormat="1" x14ac:dyDescent="0.25">
      <c r="A525" s="188"/>
      <c r="B525" s="214" t="s">
        <v>485</v>
      </c>
      <c r="C525" s="188"/>
      <c r="D525" s="286" t="s">
        <v>400</v>
      </c>
      <c r="E525" s="161">
        <f>'Rekapitulacija Posebni dio'!C292</f>
        <v>0</v>
      </c>
      <c r="F525" s="161">
        <f>'Rekapitulacija Posebni dio'!D292</f>
        <v>0</v>
      </c>
      <c r="G525" s="161">
        <f>'Rekapitulacija Posebni dio'!E577</f>
        <v>300</v>
      </c>
      <c r="H525" s="161">
        <f>'Rekapitulacija Posebni dio'!F577</f>
        <v>300</v>
      </c>
      <c r="I525" s="161">
        <f>'Rekapitulacija Posebni dio'!G577</f>
        <v>300</v>
      </c>
      <c r="J525" s="161">
        <f>'Rekapitulacija Posebni dio'!H577</f>
        <v>300</v>
      </c>
    </row>
    <row r="526" spans="1:10" s="216" customFormat="1" x14ac:dyDescent="0.25">
      <c r="A526" s="188"/>
      <c r="B526" s="214" t="s">
        <v>488</v>
      </c>
      <c r="C526" s="188"/>
      <c r="D526" s="286" t="s">
        <v>402</v>
      </c>
      <c r="E526" s="161">
        <f>'Rekapitulacija Posebni dio'!C295</f>
        <v>0</v>
      </c>
      <c r="F526" s="161">
        <f>'Rekapitulacija Posebni dio'!D295</f>
        <v>0</v>
      </c>
      <c r="G526" s="161">
        <f>'Rekapitulacija Posebni dio'!E578</f>
        <v>2100</v>
      </c>
      <c r="H526" s="161">
        <f>'Rekapitulacija Posebni dio'!F578</f>
        <v>2100</v>
      </c>
      <c r="I526" s="161">
        <f>'Rekapitulacija Posebni dio'!G578</f>
        <v>2100</v>
      </c>
      <c r="J526" s="161">
        <f>'Rekapitulacija Posebni dio'!H578</f>
        <v>1800</v>
      </c>
    </row>
    <row r="527" spans="1:10" s="216" customFormat="1" x14ac:dyDescent="0.25">
      <c r="A527" s="188"/>
      <c r="B527" s="214" t="s">
        <v>624</v>
      </c>
      <c r="C527" s="188"/>
      <c r="D527" s="286" t="s">
        <v>625</v>
      </c>
      <c r="E527" s="161"/>
      <c r="F527" s="161"/>
      <c r="G527" s="161">
        <f>'Rekapitulacija Posebni dio'!E579</f>
        <v>1600</v>
      </c>
      <c r="H527" s="161">
        <f>'Rekapitulacija Posebni dio'!F579</f>
        <v>1600</v>
      </c>
      <c r="I527" s="161">
        <f>'Rekapitulacija Posebni dio'!G579</f>
        <v>1600</v>
      </c>
      <c r="J527" s="161">
        <f>'Rekapitulacija Posebni dio'!H579</f>
        <v>1600</v>
      </c>
    </row>
    <row r="528" spans="1:10" s="215" customFormat="1" x14ac:dyDescent="0.25">
      <c r="A528" s="213"/>
      <c r="B528" s="214" t="s">
        <v>489</v>
      </c>
      <c r="C528" s="213"/>
      <c r="D528" s="286" t="s">
        <v>397</v>
      </c>
      <c r="E528" s="161">
        <f>'Rekapitulacija Posebni dio'!C296</f>
        <v>0</v>
      </c>
      <c r="F528" s="161">
        <f>'Rekapitulacija Posebni dio'!D296</f>
        <v>0</v>
      </c>
      <c r="G528" s="161">
        <f>'Rekapitulacija Posebni dio'!E580</f>
        <v>1495.42</v>
      </c>
      <c r="H528" s="161">
        <f>'Rekapitulacija Posebni dio'!F580</f>
        <v>1495.42</v>
      </c>
      <c r="I528" s="161">
        <f>'Rekapitulacija Posebni dio'!G580</f>
        <v>1495.42</v>
      </c>
      <c r="J528" s="161">
        <f>'Rekapitulacija Posebni dio'!H580</f>
        <v>800</v>
      </c>
    </row>
    <row r="529" spans="1:10" s="215" customFormat="1" x14ac:dyDescent="0.25">
      <c r="A529" s="188"/>
      <c r="B529" s="154">
        <v>313</v>
      </c>
      <c r="C529" s="188"/>
      <c r="D529" s="188" t="s">
        <v>97</v>
      </c>
      <c r="E529" s="217" t="e">
        <f>E530+#REF!</f>
        <v>#REF!</v>
      </c>
      <c r="F529" s="217" t="e">
        <f>F530+#REF!</f>
        <v>#REF!</v>
      </c>
      <c r="G529" s="217">
        <f>G530</f>
        <v>28260.559999999998</v>
      </c>
      <c r="H529" s="217">
        <f>H530</f>
        <v>28260.559999999998</v>
      </c>
      <c r="I529" s="217">
        <f t="shared" ref="I529:J529" si="334">I530</f>
        <v>29622.559999999998</v>
      </c>
      <c r="J529" s="217">
        <f t="shared" si="334"/>
        <v>26302.39</v>
      </c>
    </row>
    <row r="530" spans="1:10" s="215" customFormat="1" x14ac:dyDescent="0.25">
      <c r="A530" s="188"/>
      <c r="B530" s="154">
        <v>3132</v>
      </c>
      <c r="C530" s="188"/>
      <c r="D530" s="188" t="s">
        <v>98</v>
      </c>
      <c r="E530" s="217">
        <f t="shared" ref="E530:J530" si="335">SUM(E531)</f>
        <v>0</v>
      </c>
      <c r="F530" s="217">
        <f t="shared" si="335"/>
        <v>0</v>
      </c>
      <c r="G530" s="217">
        <f t="shared" si="335"/>
        <v>28260.559999999998</v>
      </c>
      <c r="H530" s="217">
        <f t="shared" si="335"/>
        <v>28260.559999999998</v>
      </c>
      <c r="I530" s="217">
        <f t="shared" si="335"/>
        <v>29622.559999999998</v>
      </c>
      <c r="J530" s="217">
        <f t="shared" si="335"/>
        <v>26302.39</v>
      </c>
    </row>
    <row r="531" spans="1:10" s="117" customFormat="1" x14ac:dyDescent="0.25">
      <c r="A531" s="213"/>
      <c r="B531" s="158" t="s">
        <v>490</v>
      </c>
      <c r="C531" s="213"/>
      <c r="D531" s="213" t="s">
        <v>98</v>
      </c>
      <c r="E531" s="161">
        <f>'Rekapitulacija Posebni dio'!C299</f>
        <v>0</v>
      </c>
      <c r="F531" s="161">
        <f>'Rekapitulacija Posebni dio'!D299</f>
        <v>0</v>
      </c>
      <c r="G531" s="161">
        <f>'Rekapitulacija Posebni dio'!E583</f>
        <v>28260.559999999998</v>
      </c>
      <c r="H531" s="161">
        <f>'Rekapitulacija Posebni dio'!F583</f>
        <v>28260.559999999998</v>
      </c>
      <c r="I531" s="161">
        <f>'Rekapitulacija Posebni dio'!G583</f>
        <v>29622.559999999998</v>
      </c>
      <c r="J531" s="161">
        <f>'Rekapitulacija Posebni dio'!H583</f>
        <v>26302.39</v>
      </c>
    </row>
    <row r="532" spans="1:10" s="117" customFormat="1" x14ac:dyDescent="0.25">
      <c r="A532" s="188"/>
      <c r="B532" s="132">
        <v>32</v>
      </c>
      <c r="C532" s="199"/>
      <c r="D532" s="212" t="s">
        <v>99</v>
      </c>
      <c r="E532" s="135" t="e">
        <f>E541+#REF!+E578+#REF!+#REF!+#REF!</f>
        <v>#REF!</v>
      </c>
      <c r="F532" s="135" t="e">
        <f>F541+#REF!+F578+#REF!+#REF!+#REF!</f>
        <v>#REF!</v>
      </c>
      <c r="G532" s="135">
        <f>G533+G542</f>
        <v>38304.32</v>
      </c>
      <c r="H532" s="135">
        <f>H533+H542</f>
        <v>38304.32</v>
      </c>
      <c r="I532" s="135">
        <f t="shared" ref="I532:J532" si="336">I533+I542</f>
        <v>38454.32</v>
      </c>
      <c r="J532" s="135">
        <f t="shared" si="336"/>
        <v>27366.5</v>
      </c>
    </row>
    <row r="533" spans="1:10" x14ac:dyDescent="0.25">
      <c r="A533" s="188"/>
      <c r="B533" s="150" t="s">
        <v>212</v>
      </c>
      <c r="C533" s="188"/>
      <c r="D533" s="228" t="s">
        <v>100</v>
      </c>
      <c r="E533" s="246" t="e">
        <f>E534+E538+E540</f>
        <v>#REF!</v>
      </c>
      <c r="F533" s="246" t="e">
        <f>F534+F538+F540</f>
        <v>#REF!</v>
      </c>
      <c r="G533" s="246">
        <f>G534+G538+G540</f>
        <v>35422.639999999999</v>
      </c>
      <c r="H533" s="246">
        <f>H534+H538+H540</f>
        <v>35422.639999999999</v>
      </c>
      <c r="I533" s="246">
        <f t="shared" ref="I533:J533" si="337">I534+I538+I540</f>
        <v>35572.639999999999</v>
      </c>
      <c r="J533" s="246">
        <f t="shared" si="337"/>
        <v>25445</v>
      </c>
    </row>
    <row r="534" spans="1:10" x14ac:dyDescent="0.25">
      <c r="A534" s="188"/>
      <c r="B534" s="150" t="s">
        <v>101</v>
      </c>
      <c r="C534" s="188"/>
      <c r="D534" s="228" t="s">
        <v>102</v>
      </c>
      <c r="E534" s="246" t="e">
        <f>E535+E536+E537</f>
        <v>#REF!</v>
      </c>
      <c r="F534" s="246" t="e">
        <f t="shared" ref="F534:J534" si="338">F535+F536+F537</f>
        <v>#REF!</v>
      </c>
      <c r="G534" s="246">
        <f t="shared" ref="G534" si="339">G535+G536+G537</f>
        <v>11616.17</v>
      </c>
      <c r="H534" s="246">
        <f t="shared" si="338"/>
        <v>11616.17</v>
      </c>
      <c r="I534" s="246">
        <f t="shared" si="338"/>
        <v>11666.17</v>
      </c>
      <c r="J534" s="246">
        <f t="shared" si="338"/>
        <v>8003</v>
      </c>
    </row>
    <row r="535" spans="1:10" x14ac:dyDescent="0.25">
      <c r="A535" s="188"/>
      <c r="B535" s="214" t="s">
        <v>521</v>
      </c>
      <c r="C535" s="188"/>
      <c r="D535" s="229" t="s">
        <v>403</v>
      </c>
      <c r="E535" s="245" t="e">
        <f>'Rekapitulacija Posebni dio'!C655+'Rekapitulacija Posebni dio'!#REF!+'Rekapitulacija Posebni dio'!C690+'Rekapitulacija Posebni dio'!#REF!+'Rekapitulacija Posebni dio'!C732</f>
        <v>#REF!</v>
      </c>
      <c r="F535" s="245" t="e">
        <f>'Rekapitulacija Posebni dio'!D655+'Rekapitulacija Posebni dio'!#REF!+'Rekapitulacija Posebni dio'!D690+'Rekapitulacija Posebni dio'!#REF!+'Rekapitulacija Posebni dio'!D732</f>
        <v>#REF!</v>
      </c>
      <c r="G535" s="245">
        <f>'Rekapitulacija Posebni dio'!E587</f>
        <v>5116.17</v>
      </c>
      <c r="H535" s="245">
        <f>'Rekapitulacija Posebni dio'!F587</f>
        <v>5116.17</v>
      </c>
      <c r="I535" s="245">
        <f>'Rekapitulacija Posebni dio'!G587</f>
        <v>5166.17</v>
      </c>
      <c r="J535" s="245">
        <f>'Rekapitulacija Posebni dio'!H587</f>
        <v>1503</v>
      </c>
    </row>
    <row r="536" spans="1:10" x14ac:dyDescent="0.25">
      <c r="A536" s="188"/>
      <c r="B536" s="214" t="s">
        <v>528</v>
      </c>
      <c r="C536" s="188"/>
      <c r="D536" s="229" t="s">
        <v>405</v>
      </c>
      <c r="E536" s="245" t="e">
        <f>'Rekapitulacija Posebni dio'!#REF!+'Rekapitulacija Posebni dio'!C691</f>
        <v>#REF!</v>
      </c>
      <c r="F536" s="245" t="e">
        <f>'Rekapitulacija Posebni dio'!#REF!+'Rekapitulacija Posebni dio'!D691</f>
        <v>#REF!</v>
      </c>
      <c r="G536" s="245">
        <f>'Rekapitulacija Posebni dio'!E588</f>
        <v>4500</v>
      </c>
      <c r="H536" s="245">
        <f>'Rekapitulacija Posebni dio'!F588</f>
        <v>4500</v>
      </c>
      <c r="I536" s="245">
        <f>'Rekapitulacija Posebni dio'!G588</f>
        <v>4500</v>
      </c>
      <c r="J536" s="245">
        <f>'Rekapitulacija Posebni dio'!H588</f>
        <v>4500</v>
      </c>
    </row>
    <row r="537" spans="1:10" x14ac:dyDescent="0.25">
      <c r="A537" s="188"/>
      <c r="B537" s="214" t="s">
        <v>510</v>
      </c>
      <c r="C537" s="188"/>
      <c r="D537" s="229" t="s">
        <v>406</v>
      </c>
      <c r="E537" s="245" t="e">
        <f>'Rekapitulacija Posebni dio'!#REF!+'Rekapitulacija Posebni dio'!C692</f>
        <v>#REF!</v>
      </c>
      <c r="F537" s="245" t="e">
        <f>'Rekapitulacija Posebni dio'!#REF!+'Rekapitulacija Posebni dio'!D692</f>
        <v>#REF!</v>
      </c>
      <c r="G537" s="245">
        <f>'Rekapitulacija Posebni dio'!E589</f>
        <v>2000</v>
      </c>
      <c r="H537" s="245">
        <f>'Rekapitulacija Posebni dio'!F589</f>
        <v>2000</v>
      </c>
      <c r="I537" s="245">
        <f>'Rekapitulacija Posebni dio'!G589</f>
        <v>2000</v>
      </c>
      <c r="J537" s="245">
        <f>'Rekapitulacija Posebni dio'!H589</f>
        <v>2000</v>
      </c>
    </row>
    <row r="538" spans="1:10" x14ac:dyDescent="0.25">
      <c r="A538" s="188"/>
      <c r="B538" s="150" t="s">
        <v>103</v>
      </c>
      <c r="C538" s="188"/>
      <c r="D538" s="228" t="s">
        <v>104</v>
      </c>
      <c r="E538" s="246" t="e">
        <f t="shared" ref="E538:J538" si="340">SUM(E539)</f>
        <v>#REF!</v>
      </c>
      <c r="F538" s="246" t="e">
        <f>SUM(F539)</f>
        <v>#REF!</v>
      </c>
      <c r="G538" s="246">
        <f t="shared" si="340"/>
        <v>17905.43</v>
      </c>
      <c r="H538" s="246">
        <f t="shared" si="340"/>
        <v>17905.43</v>
      </c>
      <c r="I538" s="246">
        <f t="shared" si="340"/>
        <v>18005.43</v>
      </c>
      <c r="J538" s="246">
        <f t="shared" si="340"/>
        <v>13200</v>
      </c>
    </row>
    <row r="539" spans="1:10" x14ac:dyDescent="0.25">
      <c r="A539" s="213"/>
      <c r="B539" s="214" t="s">
        <v>491</v>
      </c>
      <c r="C539" s="213"/>
      <c r="D539" s="229" t="s">
        <v>104</v>
      </c>
      <c r="E539" s="245" t="e">
        <f>'Rekapitulacija Posebni dio'!C659+'Rekapitulacija Posebni dio'!#REF!+'Rekapitulacija Posebni dio'!C694+'Rekapitulacija Posebni dio'!#REF!</f>
        <v>#REF!</v>
      </c>
      <c r="F539" s="245" t="e">
        <f>'Rekapitulacija Posebni dio'!D659+'Rekapitulacija Posebni dio'!#REF!+'Rekapitulacija Posebni dio'!D694+'Rekapitulacija Posebni dio'!#REF!</f>
        <v>#REF!</v>
      </c>
      <c r="G539" s="464">
        <f>'Rekapitulacija Posebni dio'!E591</f>
        <v>17905.43</v>
      </c>
      <c r="H539" s="464">
        <f>'Rekapitulacija Posebni dio'!F591</f>
        <v>17905.43</v>
      </c>
      <c r="I539" s="464">
        <f>'Rekapitulacija Posebni dio'!G591</f>
        <v>18005.43</v>
      </c>
      <c r="J539" s="464">
        <f>'Rekapitulacija Posebni dio'!H591</f>
        <v>13200</v>
      </c>
    </row>
    <row r="540" spans="1:10" x14ac:dyDescent="0.25">
      <c r="A540" s="213"/>
      <c r="B540" s="150" t="s">
        <v>105</v>
      </c>
      <c r="C540" s="188"/>
      <c r="D540" s="228" t="s">
        <v>106</v>
      </c>
      <c r="E540" s="246" t="e">
        <f t="shared" ref="E540:J540" si="341">SUM(E541:E541)</f>
        <v>#REF!</v>
      </c>
      <c r="F540" s="246" t="e">
        <f t="shared" si="341"/>
        <v>#REF!</v>
      </c>
      <c r="G540" s="246">
        <f t="shared" si="341"/>
        <v>5901.04</v>
      </c>
      <c r="H540" s="246">
        <f t="shared" si="341"/>
        <v>5901.04</v>
      </c>
      <c r="I540" s="246">
        <f t="shared" si="341"/>
        <v>5901.04</v>
      </c>
      <c r="J540" s="246">
        <f t="shared" si="341"/>
        <v>4242</v>
      </c>
    </row>
    <row r="541" spans="1:10" x14ac:dyDescent="0.25">
      <c r="A541" s="213"/>
      <c r="B541" s="214" t="s">
        <v>511</v>
      </c>
      <c r="C541" s="213"/>
      <c r="D541" s="229" t="s">
        <v>408</v>
      </c>
      <c r="E541" s="245" t="e">
        <f>'Rekapitulacija Posebni dio'!C661+'Rekapitulacija Posebni dio'!#REF!+'Rekapitulacija Posebni dio'!C696</f>
        <v>#REF!</v>
      </c>
      <c r="F541" s="245" t="e">
        <f>'Rekapitulacija Posebni dio'!D661+'Rekapitulacija Posebni dio'!#REF!+'Rekapitulacija Posebni dio'!D696</f>
        <v>#REF!</v>
      </c>
      <c r="G541" s="245">
        <f>'Rekapitulacija Posebni dio'!E593</f>
        <v>5901.04</v>
      </c>
      <c r="H541" s="245">
        <f>'Rekapitulacija Posebni dio'!F593</f>
        <v>5901.04</v>
      </c>
      <c r="I541" s="245">
        <f>'Rekapitulacija Posebni dio'!G593</f>
        <v>5901.04</v>
      </c>
      <c r="J541" s="245">
        <f>'Rekapitulacija Posebni dio'!H593</f>
        <v>4242</v>
      </c>
    </row>
    <row r="542" spans="1:10" x14ac:dyDescent="0.25">
      <c r="A542" s="188"/>
      <c r="B542" s="150" t="s">
        <v>123</v>
      </c>
      <c r="C542" s="188"/>
      <c r="D542" s="188" t="s">
        <v>124</v>
      </c>
      <c r="E542" s="217" t="e">
        <f>#REF!+#REF!+#REF!+#REF!+#REF!+E543+E545</f>
        <v>#REF!</v>
      </c>
      <c r="F542" s="217" t="e">
        <f>#REF!+#REF!+#REF!+#REF!+#REF!+F543+F545</f>
        <v>#REF!</v>
      </c>
      <c r="G542" s="217">
        <f>G543+G545</f>
        <v>2881.68</v>
      </c>
      <c r="H542" s="217">
        <f>H543+H545</f>
        <v>2881.68</v>
      </c>
      <c r="I542" s="217">
        <f t="shared" ref="I542:J542" si="342">I543+I545</f>
        <v>2881.68</v>
      </c>
      <c r="J542" s="217">
        <f t="shared" si="342"/>
        <v>1921.5</v>
      </c>
    </row>
    <row r="543" spans="1:10" x14ac:dyDescent="0.25">
      <c r="A543" s="188"/>
      <c r="B543" s="150" t="s">
        <v>215</v>
      </c>
      <c r="C543" s="188"/>
      <c r="D543" s="188" t="s">
        <v>135</v>
      </c>
      <c r="E543" s="217" t="e">
        <f t="shared" ref="E543:J543" si="343">SUM(E544)</f>
        <v>#REF!</v>
      </c>
      <c r="F543" s="217" t="e">
        <f t="shared" si="343"/>
        <v>#REF!</v>
      </c>
      <c r="G543" s="217">
        <f t="shared" si="343"/>
        <v>2440.2399999999998</v>
      </c>
      <c r="H543" s="217">
        <f t="shared" si="343"/>
        <v>2440.2399999999998</v>
      </c>
      <c r="I543" s="217">
        <f t="shared" si="343"/>
        <v>2440.2399999999998</v>
      </c>
      <c r="J543" s="217">
        <f t="shared" si="343"/>
        <v>1921.5</v>
      </c>
    </row>
    <row r="544" spans="1:10" x14ac:dyDescent="0.25">
      <c r="A544" s="188"/>
      <c r="B544" s="214" t="s">
        <v>514</v>
      </c>
      <c r="C544" s="213"/>
      <c r="D544" s="213" t="s">
        <v>438</v>
      </c>
      <c r="E544" s="218" t="e">
        <f>'Rekapitulacija Posebni dio'!C659+'Rekapitulacija Posebni dio'!C700+'Rekapitulacija Posebni dio'!#REF!</f>
        <v>#REF!</v>
      </c>
      <c r="F544" s="218" t="e">
        <f>'Rekapitulacija Posebni dio'!D659+'Rekapitulacija Posebni dio'!D700+'Rekapitulacija Posebni dio'!#REF!</f>
        <v>#REF!</v>
      </c>
      <c r="G544" s="218">
        <f>'Rekapitulacija Posebni dio'!E598</f>
        <v>2440.2399999999998</v>
      </c>
      <c r="H544" s="218">
        <f>'Rekapitulacija Posebni dio'!F598</f>
        <v>2440.2399999999998</v>
      </c>
      <c r="I544" s="218">
        <f>'Rekapitulacija Posebni dio'!G598</f>
        <v>2440.2399999999998</v>
      </c>
      <c r="J544" s="218">
        <f>'Rekapitulacija Posebni dio'!H598</f>
        <v>1921.5</v>
      </c>
    </row>
    <row r="545" spans="1:10" x14ac:dyDescent="0.25">
      <c r="A545" s="465"/>
      <c r="B545" s="150" t="s">
        <v>138</v>
      </c>
      <c r="C545" s="188"/>
      <c r="D545" s="221" t="s">
        <v>139</v>
      </c>
      <c r="E545" s="153"/>
      <c r="F545" s="153"/>
      <c r="G545" s="153">
        <f>G546</f>
        <v>441.44</v>
      </c>
      <c r="H545" s="153">
        <f>H546</f>
        <v>441.44</v>
      </c>
      <c r="I545" s="153">
        <f t="shared" ref="I545" si="344">I546</f>
        <v>441.44</v>
      </c>
      <c r="J545" s="153">
        <f t="shared" ref="J545" si="345">J546</f>
        <v>0</v>
      </c>
    </row>
    <row r="546" spans="1:10" x14ac:dyDescent="0.25">
      <c r="A546" s="465"/>
      <c r="B546" s="214" t="s">
        <v>515</v>
      </c>
      <c r="C546" s="188"/>
      <c r="D546" s="220" t="s">
        <v>311</v>
      </c>
      <c r="E546" s="161"/>
      <c r="F546" s="161"/>
      <c r="G546" s="161">
        <f>'Rekapitulacija Posebni dio'!E600</f>
        <v>441.44</v>
      </c>
      <c r="H546" s="161">
        <f>'Rekapitulacija Posebni dio'!F600</f>
        <v>441.44</v>
      </c>
      <c r="I546" s="161">
        <f>'Rekapitulacija Posebni dio'!G600</f>
        <v>441.44</v>
      </c>
      <c r="J546" s="161">
        <f>'Rekapitulacija Posebni dio'!H600</f>
        <v>0</v>
      </c>
    </row>
    <row r="547" spans="1:10" x14ac:dyDescent="0.25">
      <c r="A547" s="213"/>
      <c r="B547" s="162">
        <v>37</v>
      </c>
      <c r="C547" s="225"/>
      <c r="D547" s="293" t="s">
        <v>159</v>
      </c>
      <c r="E547" s="165">
        <f t="shared" ref="E547:J548" si="346">SUM(E548)</f>
        <v>0</v>
      </c>
      <c r="F547" s="165">
        <f t="shared" si="346"/>
        <v>0</v>
      </c>
      <c r="G547" s="165">
        <f t="shared" si="346"/>
        <v>3200</v>
      </c>
      <c r="H547" s="165">
        <f t="shared" si="346"/>
        <v>3200</v>
      </c>
      <c r="I547" s="165">
        <f t="shared" si="346"/>
        <v>3264</v>
      </c>
      <c r="J547" s="165">
        <f t="shared" si="346"/>
        <v>3329.28</v>
      </c>
    </row>
    <row r="548" spans="1:10" x14ac:dyDescent="0.25">
      <c r="A548" s="213"/>
      <c r="B548" s="166">
        <v>372</v>
      </c>
      <c r="C548" s="149"/>
      <c r="D548" s="294" t="s">
        <v>160</v>
      </c>
      <c r="E548" s="153">
        <f t="shared" si="346"/>
        <v>0</v>
      </c>
      <c r="F548" s="153">
        <f t="shared" si="346"/>
        <v>0</v>
      </c>
      <c r="G548" s="153">
        <f t="shared" si="346"/>
        <v>3200</v>
      </c>
      <c r="H548" s="153">
        <f t="shared" si="346"/>
        <v>3200</v>
      </c>
      <c r="I548" s="153">
        <f t="shared" si="346"/>
        <v>3264</v>
      </c>
      <c r="J548" s="153">
        <f t="shared" si="346"/>
        <v>3329.28</v>
      </c>
    </row>
    <row r="549" spans="1:10" x14ac:dyDescent="0.25">
      <c r="A549" s="213"/>
      <c r="B549" s="166">
        <v>3721</v>
      </c>
      <c r="C549" s="149"/>
      <c r="D549" s="294" t="s">
        <v>161</v>
      </c>
      <c r="E549" s="153">
        <f t="shared" ref="E549:J549" si="347">SUM(E550:E550)</f>
        <v>0</v>
      </c>
      <c r="F549" s="153">
        <f t="shared" si="347"/>
        <v>0</v>
      </c>
      <c r="G549" s="153">
        <f t="shared" si="347"/>
        <v>3200</v>
      </c>
      <c r="H549" s="153">
        <f t="shared" si="347"/>
        <v>3200</v>
      </c>
      <c r="I549" s="153">
        <f t="shared" si="347"/>
        <v>3264</v>
      </c>
      <c r="J549" s="153">
        <f t="shared" si="347"/>
        <v>3329.28</v>
      </c>
    </row>
    <row r="550" spans="1:10" x14ac:dyDescent="0.25">
      <c r="A550" s="213"/>
      <c r="B550" s="292">
        <v>37215</v>
      </c>
      <c r="C550" s="131"/>
      <c r="D550" s="291" t="s">
        <v>459</v>
      </c>
      <c r="E550" s="161">
        <f>'Rekapitulacija Posebni dio'!C311</f>
        <v>0</v>
      </c>
      <c r="F550" s="161">
        <f>'Rekapitulacija Posebni dio'!D311</f>
        <v>0</v>
      </c>
      <c r="G550" s="161">
        <f>'Rekapitulacija Posebni dio'!E604</f>
        <v>3200</v>
      </c>
      <c r="H550" s="161">
        <f>'Rekapitulacija Posebni dio'!F604</f>
        <v>3200</v>
      </c>
      <c r="I550" s="161">
        <f>'Rekapitulacija Posebni dio'!G604</f>
        <v>3264</v>
      </c>
      <c r="J550" s="161">
        <f>'Rekapitulacija Posebni dio'!H604</f>
        <v>3329.28</v>
      </c>
    </row>
    <row r="551" spans="1:10" x14ac:dyDescent="0.25">
      <c r="A551" s="465"/>
      <c r="B551" s="469"/>
      <c r="C551" s="241" t="s">
        <v>681</v>
      </c>
      <c r="D551" s="242" t="s">
        <v>702</v>
      </c>
      <c r="E551" s="243"/>
      <c r="F551" s="243"/>
      <c r="G551" s="243">
        <f>G518</f>
        <v>437409.22</v>
      </c>
      <c r="H551" s="243">
        <f>H518</f>
        <v>437409.22</v>
      </c>
      <c r="I551" s="243">
        <f t="shared" ref="I551:J551" si="348">I518</f>
        <v>365485.22</v>
      </c>
      <c r="J551" s="243">
        <f t="shared" si="348"/>
        <v>262923.40000000002</v>
      </c>
    </row>
    <row r="552" spans="1:10" x14ac:dyDescent="0.25">
      <c r="A552" s="465"/>
      <c r="B552" s="469"/>
      <c r="C552" s="241" t="s">
        <v>700</v>
      </c>
      <c r="D552" s="242" t="s">
        <v>701</v>
      </c>
      <c r="E552" s="243"/>
      <c r="F552" s="243"/>
      <c r="G552" s="243">
        <f>G551</f>
        <v>437409.22</v>
      </c>
      <c r="H552" s="243">
        <f>H551</f>
        <v>437409.22</v>
      </c>
      <c r="I552" s="243">
        <f t="shared" ref="I552:J552" si="349">I551</f>
        <v>365485.22</v>
      </c>
      <c r="J552" s="243">
        <f t="shared" si="349"/>
        <v>262923.40000000002</v>
      </c>
    </row>
    <row r="553" spans="1:10" x14ac:dyDescent="0.25">
      <c r="A553" s="465"/>
      <c r="B553" s="469"/>
      <c r="C553" s="241" t="s">
        <v>699</v>
      </c>
      <c r="D553" s="242" t="s">
        <v>706</v>
      </c>
      <c r="E553" s="243"/>
      <c r="F553" s="243"/>
      <c r="G553" s="243">
        <f>G496+G517+G552</f>
        <v>675923.83</v>
      </c>
      <c r="H553" s="243">
        <f t="shared" ref="H553:J553" si="350">H496+H517+H552</f>
        <v>675923.83</v>
      </c>
      <c r="I553" s="243">
        <f t="shared" si="350"/>
        <v>593123.82999999996</v>
      </c>
      <c r="J553" s="243">
        <f t="shared" si="350"/>
        <v>493748.49</v>
      </c>
    </row>
    <row r="554" spans="1:10" x14ac:dyDescent="0.25">
      <c r="A554" s="208" t="s">
        <v>83</v>
      </c>
      <c r="B554" s="208"/>
      <c r="C554" s="209"/>
      <c r="D554" s="210" t="s">
        <v>84</v>
      </c>
      <c r="E554" s="250">
        <f t="shared" ref="E554:J554" si="351">E555</f>
        <v>0</v>
      </c>
      <c r="F554" s="250">
        <f t="shared" si="351"/>
        <v>0</v>
      </c>
      <c r="G554" s="250">
        <f t="shared" si="351"/>
        <v>2000</v>
      </c>
      <c r="H554" s="250">
        <f t="shared" si="351"/>
        <v>2000</v>
      </c>
      <c r="I554" s="250">
        <f t="shared" si="351"/>
        <v>2220</v>
      </c>
      <c r="J554" s="250">
        <f t="shared" si="351"/>
        <v>2440.4</v>
      </c>
    </row>
    <row r="555" spans="1:10" x14ac:dyDescent="0.25">
      <c r="A555" s="188"/>
      <c r="B555" s="132">
        <v>32</v>
      </c>
      <c r="C555" s="199"/>
      <c r="D555" s="212" t="s">
        <v>99</v>
      </c>
      <c r="E555" s="165">
        <f>E556+E561+E565+E568</f>
        <v>0</v>
      </c>
      <c r="F555" s="165">
        <f t="shared" ref="F555:J555" si="352">F556+F561+F565+F568</f>
        <v>0</v>
      </c>
      <c r="G555" s="165">
        <f t="shared" ref="G555" si="353">G556+G561+G565+G568</f>
        <v>2000</v>
      </c>
      <c r="H555" s="165">
        <f t="shared" si="352"/>
        <v>2000</v>
      </c>
      <c r="I555" s="165">
        <f t="shared" si="352"/>
        <v>2220</v>
      </c>
      <c r="J555" s="165">
        <f t="shared" si="352"/>
        <v>2440.4</v>
      </c>
    </row>
    <row r="556" spans="1:10" x14ac:dyDescent="0.25">
      <c r="A556" s="188"/>
      <c r="B556" s="150">
        <v>321</v>
      </c>
      <c r="C556" s="188"/>
      <c r="D556" s="188" t="s">
        <v>100</v>
      </c>
      <c r="E556" s="153">
        <f t="shared" ref="E556" si="354">E557+E560</f>
        <v>0</v>
      </c>
      <c r="F556" s="153">
        <f t="shared" ref="F556:J556" si="355">F557+F560</f>
        <v>0</v>
      </c>
      <c r="G556" s="153">
        <f t="shared" ref="G556" si="356">G557+G560</f>
        <v>1000</v>
      </c>
      <c r="H556" s="153">
        <f t="shared" si="355"/>
        <v>1000</v>
      </c>
      <c r="I556" s="153">
        <f t="shared" si="355"/>
        <v>1200</v>
      </c>
      <c r="J556" s="153">
        <f t="shared" si="355"/>
        <v>1400</v>
      </c>
    </row>
    <row r="557" spans="1:10" x14ac:dyDescent="0.25">
      <c r="A557" s="188"/>
      <c r="B557" s="150" t="s">
        <v>101</v>
      </c>
      <c r="C557" s="188"/>
      <c r="D557" s="188" t="s">
        <v>102</v>
      </c>
      <c r="E557" s="153">
        <f t="shared" ref="E557" si="357">SUM(E558:E559)</f>
        <v>0</v>
      </c>
      <c r="F557" s="153">
        <f t="shared" ref="F557:J557" si="358">SUM(F558:F559)</f>
        <v>0</v>
      </c>
      <c r="G557" s="153">
        <f t="shared" ref="G557" si="359">SUM(G558:G559)</f>
        <v>1000</v>
      </c>
      <c r="H557" s="153">
        <f t="shared" si="358"/>
        <v>1000</v>
      </c>
      <c r="I557" s="153">
        <f t="shared" si="358"/>
        <v>1200</v>
      </c>
      <c r="J557" s="153">
        <f t="shared" si="358"/>
        <v>1400</v>
      </c>
    </row>
    <row r="558" spans="1:10" x14ac:dyDescent="0.25">
      <c r="A558" s="188"/>
      <c r="B558" s="214" t="s">
        <v>521</v>
      </c>
      <c r="C558" s="213"/>
      <c r="D558" s="213" t="s">
        <v>403</v>
      </c>
      <c r="E558" s="161">
        <f>'Rekapitulacija Posebni dio'!C397</f>
        <v>0</v>
      </c>
      <c r="F558" s="161">
        <f>'Rekapitulacija Posebni dio'!D397</f>
        <v>0</v>
      </c>
      <c r="G558" s="161">
        <f>'Rekapitulacija Posebni dio'!E397</f>
        <v>500</v>
      </c>
      <c r="H558" s="161">
        <f>'Rekapitulacija Posebni dio'!F397</f>
        <v>500</v>
      </c>
      <c r="I558" s="161">
        <f>'Rekapitulacija Posebni dio'!G397</f>
        <v>600</v>
      </c>
      <c r="J558" s="161">
        <f>'Rekapitulacija Posebni dio'!H397</f>
        <v>700</v>
      </c>
    </row>
    <row r="559" spans="1:10" x14ac:dyDescent="0.25">
      <c r="A559" s="213"/>
      <c r="B559" s="214" t="s">
        <v>510</v>
      </c>
      <c r="C559" s="213"/>
      <c r="D559" s="213" t="s">
        <v>406</v>
      </c>
      <c r="E559" s="161">
        <f>'Rekapitulacija Posebni dio'!C398</f>
        <v>0</v>
      </c>
      <c r="F559" s="161">
        <f>'Rekapitulacija Posebni dio'!D398</f>
        <v>0</v>
      </c>
      <c r="G559" s="161">
        <f>'Rekapitulacija Posebni dio'!E398</f>
        <v>500</v>
      </c>
      <c r="H559" s="161">
        <f>'Rekapitulacija Posebni dio'!F398</f>
        <v>500</v>
      </c>
      <c r="I559" s="161">
        <f>'Rekapitulacija Posebni dio'!G398</f>
        <v>600</v>
      </c>
      <c r="J559" s="161">
        <f>'Rekapitulacija Posebni dio'!H398</f>
        <v>700</v>
      </c>
    </row>
    <row r="560" spans="1:10" hidden="1" x14ac:dyDescent="0.25">
      <c r="A560" s="213"/>
      <c r="B560" s="150" t="s">
        <v>105</v>
      </c>
      <c r="C560" s="188"/>
      <c r="D560" s="188" t="s">
        <v>106</v>
      </c>
      <c r="E560" s="161"/>
      <c r="F560" s="161"/>
      <c r="G560" s="161"/>
      <c r="H560" s="161"/>
      <c r="I560" s="161"/>
      <c r="J560" s="161"/>
    </row>
    <row r="561" spans="1:10" s="129" customFormat="1" hidden="1" x14ac:dyDescent="0.25">
      <c r="A561" s="188"/>
      <c r="B561" s="150" t="s">
        <v>109</v>
      </c>
      <c r="C561" s="188"/>
      <c r="D561" s="188" t="s">
        <v>110</v>
      </c>
      <c r="E561" s="153">
        <f t="shared" ref="E561:J562" si="360">E562</f>
        <v>0</v>
      </c>
      <c r="F561" s="153">
        <f t="shared" si="360"/>
        <v>0</v>
      </c>
      <c r="G561" s="153"/>
      <c r="H561" s="153">
        <f t="shared" si="360"/>
        <v>0</v>
      </c>
      <c r="I561" s="153">
        <f t="shared" si="360"/>
        <v>0</v>
      </c>
      <c r="J561" s="153">
        <f t="shared" si="360"/>
        <v>0</v>
      </c>
    </row>
    <row r="562" spans="1:10" s="129" customFormat="1" hidden="1" x14ac:dyDescent="0.25">
      <c r="A562" s="188"/>
      <c r="B562" s="150" t="s">
        <v>117</v>
      </c>
      <c r="C562" s="188"/>
      <c r="D562" s="188" t="s">
        <v>326</v>
      </c>
      <c r="E562" s="153">
        <f t="shared" si="360"/>
        <v>0</v>
      </c>
      <c r="F562" s="153">
        <f t="shared" si="360"/>
        <v>0</v>
      </c>
      <c r="G562" s="153"/>
      <c r="H562" s="153">
        <f t="shared" si="360"/>
        <v>0</v>
      </c>
      <c r="I562" s="153">
        <f t="shared" si="360"/>
        <v>0</v>
      </c>
      <c r="J562" s="153">
        <f t="shared" si="360"/>
        <v>0</v>
      </c>
    </row>
    <row r="563" spans="1:10" s="129" customFormat="1" hidden="1" x14ac:dyDescent="0.25">
      <c r="A563" s="188"/>
      <c r="B563" s="214" t="s">
        <v>536</v>
      </c>
      <c r="C563" s="188"/>
      <c r="D563" s="213" t="s">
        <v>422</v>
      </c>
      <c r="E563" s="161">
        <f>'Rekapitulacija Posebni dio'!C700</f>
        <v>0</v>
      </c>
      <c r="F563" s="161">
        <f>'Rekapitulacija Posebni dio'!D700</f>
        <v>0</v>
      </c>
      <c r="G563" s="161"/>
      <c r="H563" s="161">
        <f>'Rekapitulacija Posebni dio'!F700</f>
        <v>0</v>
      </c>
      <c r="I563" s="161">
        <f>'Rekapitulacija Posebni dio'!G700</f>
        <v>0</v>
      </c>
      <c r="J563" s="161">
        <f>'Rekapitulacija Posebni dio'!H700</f>
        <v>0</v>
      </c>
    </row>
    <row r="564" spans="1:10" hidden="1" x14ac:dyDescent="0.25">
      <c r="A564" s="213"/>
      <c r="B564" s="150" t="s">
        <v>113</v>
      </c>
      <c r="C564" s="188"/>
      <c r="D564" s="188" t="s">
        <v>114</v>
      </c>
      <c r="E564" s="161"/>
      <c r="F564" s="161"/>
      <c r="G564" s="161"/>
      <c r="H564" s="161"/>
      <c r="I564" s="161"/>
      <c r="J564" s="161"/>
    </row>
    <row r="565" spans="1:10" hidden="1" x14ac:dyDescent="0.25">
      <c r="A565" s="213"/>
      <c r="B565" s="150" t="s">
        <v>123</v>
      </c>
      <c r="C565" s="188"/>
      <c r="D565" s="288" t="s">
        <v>124</v>
      </c>
      <c r="E565" s="153">
        <f t="shared" ref="E565:J565" si="361">E566</f>
        <v>0</v>
      </c>
      <c r="F565" s="153">
        <f t="shared" si="361"/>
        <v>0</v>
      </c>
      <c r="G565" s="153"/>
      <c r="H565" s="153">
        <f t="shared" si="361"/>
        <v>0</v>
      </c>
      <c r="I565" s="153">
        <f t="shared" si="361"/>
        <v>0</v>
      </c>
      <c r="J565" s="153">
        <f t="shared" si="361"/>
        <v>0</v>
      </c>
    </row>
    <row r="566" spans="1:10" hidden="1" x14ac:dyDescent="0.25">
      <c r="A566" s="213"/>
      <c r="B566" s="150" t="s">
        <v>127</v>
      </c>
      <c r="C566" s="188"/>
      <c r="D566" s="188" t="s">
        <v>128</v>
      </c>
      <c r="E566" s="153">
        <f>E567</f>
        <v>0</v>
      </c>
      <c r="F566" s="153">
        <f>F567</f>
        <v>0</v>
      </c>
      <c r="G566" s="153"/>
      <c r="H566" s="153">
        <f>H567</f>
        <v>0</v>
      </c>
      <c r="I566" s="153">
        <f>I567</f>
        <v>0</v>
      </c>
      <c r="J566" s="153">
        <f>J567</f>
        <v>0</v>
      </c>
    </row>
    <row r="567" spans="1:10" hidden="1" x14ac:dyDescent="0.25">
      <c r="A567" s="213"/>
      <c r="B567" s="214" t="s">
        <v>524</v>
      </c>
      <c r="C567" s="188"/>
      <c r="D567" s="213" t="s">
        <v>429</v>
      </c>
      <c r="E567" s="161">
        <f>'Rekapitulacija Posebni dio'!C705</f>
        <v>0</v>
      </c>
      <c r="F567" s="161">
        <f>'Rekapitulacija Posebni dio'!D705</f>
        <v>0</v>
      </c>
      <c r="G567" s="161"/>
      <c r="H567" s="161">
        <f>'Rekapitulacija Posebni dio'!F705</f>
        <v>0</v>
      </c>
      <c r="I567" s="161">
        <f>'Rekapitulacija Posebni dio'!G705</f>
        <v>0</v>
      </c>
      <c r="J567" s="161">
        <f>'Rekapitulacija Posebni dio'!H705</f>
        <v>0</v>
      </c>
    </row>
    <row r="568" spans="1:10" s="129" customFormat="1" x14ac:dyDescent="0.25">
      <c r="A568" s="188"/>
      <c r="B568" s="150" t="s">
        <v>579</v>
      </c>
      <c r="C568" s="188"/>
      <c r="D568" s="188" t="s">
        <v>633</v>
      </c>
      <c r="E568" s="153">
        <f>E569</f>
        <v>0</v>
      </c>
      <c r="F568" s="153">
        <f t="shared" ref="F568:J569" si="362">F569</f>
        <v>0</v>
      </c>
      <c r="G568" s="153">
        <f t="shared" si="362"/>
        <v>1000</v>
      </c>
      <c r="H568" s="153">
        <f t="shared" si="362"/>
        <v>1000</v>
      </c>
      <c r="I568" s="153">
        <f t="shared" si="362"/>
        <v>1020</v>
      </c>
      <c r="J568" s="153">
        <f t="shared" si="362"/>
        <v>1040.4000000000001</v>
      </c>
    </row>
    <row r="569" spans="1:10" s="129" customFormat="1" x14ac:dyDescent="0.25">
      <c r="A569" s="188"/>
      <c r="B569" s="150" t="s">
        <v>580</v>
      </c>
      <c r="C569" s="188"/>
      <c r="D569" s="188" t="s">
        <v>633</v>
      </c>
      <c r="E569" s="153">
        <f>E570</f>
        <v>0</v>
      </c>
      <c r="F569" s="153">
        <f t="shared" si="362"/>
        <v>0</v>
      </c>
      <c r="G569" s="153">
        <f t="shared" si="362"/>
        <v>1000</v>
      </c>
      <c r="H569" s="153">
        <f t="shared" si="362"/>
        <v>1000</v>
      </c>
      <c r="I569" s="153">
        <f t="shared" si="362"/>
        <v>1020</v>
      </c>
      <c r="J569" s="153">
        <f t="shared" si="362"/>
        <v>1040.4000000000001</v>
      </c>
    </row>
    <row r="570" spans="1:10" x14ac:dyDescent="0.25">
      <c r="A570" s="213"/>
      <c r="B570" s="214" t="s">
        <v>582</v>
      </c>
      <c r="C570" s="188"/>
      <c r="D570" s="213" t="s">
        <v>584</v>
      </c>
      <c r="E570" s="161">
        <f>'Rekapitulacija Posebni dio'!C404</f>
        <v>0</v>
      </c>
      <c r="F570" s="161">
        <f>'Rekapitulacija Posebni dio'!D404</f>
        <v>0</v>
      </c>
      <c r="G570" s="161">
        <f>'Rekapitulacija Posebni dio'!E404</f>
        <v>1000</v>
      </c>
      <c r="H570" s="161">
        <f>'Rekapitulacija Posebni dio'!F404</f>
        <v>1000</v>
      </c>
      <c r="I570" s="161">
        <f>'Rekapitulacija Posebni dio'!G404</f>
        <v>1020</v>
      </c>
      <c r="J570" s="161">
        <f>'Rekapitulacija Posebni dio'!H404</f>
        <v>1040.4000000000001</v>
      </c>
    </row>
    <row r="571" spans="1:10" hidden="1" x14ac:dyDescent="0.25">
      <c r="A571" s="251">
        <v>4</v>
      </c>
      <c r="B571" s="252"/>
      <c r="C571" s="253"/>
      <c r="D571" s="233" t="s">
        <v>171</v>
      </c>
      <c r="E571" s="198">
        <f t="shared" ref="E571" si="363">E572+E578</f>
        <v>0</v>
      </c>
      <c r="F571" s="198">
        <f t="shared" ref="F571:J571" si="364">F572+F578</f>
        <v>0</v>
      </c>
      <c r="G571" s="198"/>
      <c r="H571" s="198">
        <f t="shared" si="364"/>
        <v>0</v>
      </c>
      <c r="I571" s="198">
        <f t="shared" si="364"/>
        <v>0</v>
      </c>
      <c r="J571" s="198">
        <f t="shared" si="364"/>
        <v>0</v>
      </c>
    </row>
    <row r="572" spans="1:10" hidden="1" x14ac:dyDescent="0.25">
      <c r="A572" s="254"/>
      <c r="B572" s="132">
        <v>42</v>
      </c>
      <c r="C572" s="199"/>
      <c r="D572" s="212" t="s">
        <v>180</v>
      </c>
      <c r="E572" s="165">
        <f t="shared" ref="E572:J572" si="365">E573</f>
        <v>0</v>
      </c>
      <c r="F572" s="165">
        <f t="shared" si="365"/>
        <v>0</v>
      </c>
      <c r="G572" s="165"/>
      <c r="H572" s="165">
        <f t="shared" si="365"/>
        <v>0</v>
      </c>
      <c r="I572" s="165">
        <f t="shared" si="365"/>
        <v>0</v>
      </c>
      <c r="J572" s="165">
        <f t="shared" si="365"/>
        <v>0</v>
      </c>
    </row>
    <row r="573" spans="1:10" hidden="1" x14ac:dyDescent="0.25">
      <c r="A573" s="255"/>
      <c r="B573" s="150">
        <v>422</v>
      </c>
      <c r="C573" s="188"/>
      <c r="D573" s="188" t="s">
        <v>181</v>
      </c>
      <c r="E573" s="157">
        <f t="shared" ref="E573" si="366">SUM(E574:E576)</f>
        <v>0</v>
      </c>
      <c r="F573" s="157">
        <f t="shared" ref="F573:J573" si="367">SUM(F574:F576)</f>
        <v>0</v>
      </c>
      <c r="G573" s="157"/>
      <c r="H573" s="157">
        <f t="shared" si="367"/>
        <v>0</v>
      </c>
      <c r="I573" s="157">
        <f t="shared" si="367"/>
        <v>0</v>
      </c>
      <c r="J573" s="157">
        <f t="shared" si="367"/>
        <v>0</v>
      </c>
    </row>
    <row r="574" spans="1:10" hidden="1" x14ac:dyDescent="0.25">
      <c r="A574" s="256"/>
      <c r="B574" s="150" t="s">
        <v>182</v>
      </c>
      <c r="C574" s="188"/>
      <c r="D574" s="188" t="s">
        <v>183</v>
      </c>
      <c r="E574" s="160"/>
      <c r="F574" s="160"/>
      <c r="G574" s="160"/>
      <c r="H574" s="160"/>
      <c r="I574" s="160"/>
      <c r="J574" s="160"/>
    </row>
    <row r="575" spans="1:10" hidden="1" x14ac:dyDescent="0.25">
      <c r="A575" s="256"/>
      <c r="B575" s="150" t="s">
        <v>225</v>
      </c>
      <c r="C575" s="188"/>
      <c r="D575" s="188" t="s">
        <v>186</v>
      </c>
      <c r="E575" s="160"/>
      <c r="F575" s="160"/>
      <c r="G575" s="160"/>
      <c r="H575" s="160"/>
      <c r="I575" s="160"/>
      <c r="J575" s="160"/>
    </row>
    <row r="576" spans="1:10" hidden="1" x14ac:dyDescent="0.25">
      <c r="A576" s="255"/>
      <c r="B576" s="150" t="s">
        <v>226</v>
      </c>
      <c r="C576" s="188"/>
      <c r="D576" s="188" t="s">
        <v>187</v>
      </c>
      <c r="E576" s="160"/>
      <c r="F576" s="160"/>
      <c r="G576" s="160"/>
      <c r="H576" s="160"/>
      <c r="I576" s="160"/>
      <c r="J576" s="160"/>
    </row>
    <row r="577" spans="1:10" hidden="1" x14ac:dyDescent="0.25">
      <c r="A577" s="255"/>
      <c r="B577" s="214" t="s">
        <v>227</v>
      </c>
      <c r="C577" s="213"/>
      <c r="D577" s="213" t="s">
        <v>188</v>
      </c>
      <c r="E577" s="160"/>
      <c r="F577" s="160"/>
      <c r="G577" s="160"/>
      <c r="H577" s="160"/>
      <c r="I577" s="160"/>
      <c r="J577" s="160"/>
    </row>
    <row r="578" spans="1:10" hidden="1" x14ac:dyDescent="0.25">
      <c r="A578" s="255"/>
      <c r="B578" s="150" t="s">
        <v>193</v>
      </c>
      <c r="C578" s="188"/>
      <c r="D578" s="188" t="s">
        <v>196</v>
      </c>
      <c r="E578" s="157">
        <f t="shared" ref="E578:J580" si="368">E579</f>
        <v>0</v>
      </c>
      <c r="F578" s="157">
        <f t="shared" si="368"/>
        <v>0</v>
      </c>
      <c r="G578" s="157"/>
      <c r="H578" s="157">
        <f t="shared" si="368"/>
        <v>0</v>
      </c>
      <c r="I578" s="157">
        <f t="shared" si="368"/>
        <v>0</v>
      </c>
      <c r="J578" s="157">
        <f t="shared" si="368"/>
        <v>0</v>
      </c>
    </row>
    <row r="579" spans="1:10" hidden="1" x14ac:dyDescent="0.25">
      <c r="A579" s="255"/>
      <c r="B579" s="150" t="s">
        <v>195</v>
      </c>
      <c r="C579" s="188"/>
      <c r="D579" s="188" t="s">
        <v>204</v>
      </c>
      <c r="E579" s="157">
        <f t="shared" si="368"/>
        <v>0</v>
      </c>
      <c r="F579" s="157">
        <f t="shared" si="368"/>
        <v>0</v>
      </c>
      <c r="G579" s="157"/>
      <c r="H579" s="157">
        <f t="shared" si="368"/>
        <v>0</v>
      </c>
      <c r="I579" s="157">
        <f t="shared" si="368"/>
        <v>0</v>
      </c>
      <c r="J579" s="157">
        <f t="shared" si="368"/>
        <v>0</v>
      </c>
    </row>
    <row r="580" spans="1:10" hidden="1" x14ac:dyDescent="0.25">
      <c r="A580" s="255"/>
      <c r="B580" s="150" t="s">
        <v>197</v>
      </c>
      <c r="C580" s="188"/>
      <c r="D580" s="188" t="s">
        <v>196</v>
      </c>
      <c r="E580" s="157">
        <f t="shared" si="368"/>
        <v>0</v>
      </c>
      <c r="F580" s="157">
        <f t="shared" si="368"/>
        <v>0</v>
      </c>
      <c r="G580" s="157"/>
      <c r="H580" s="157">
        <f t="shared" si="368"/>
        <v>0</v>
      </c>
      <c r="I580" s="157">
        <f t="shared" si="368"/>
        <v>0</v>
      </c>
      <c r="J580" s="157">
        <f t="shared" si="368"/>
        <v>0</v>
      </c>
    </row>
    <row r="581" spans="1:10" hidden="1" x14ac:dyDescent="0.25">
      <c r="A581" s="255"/>
      <c r="B581" s="214" t="s">
        <v>509</v>
      </c>
      <c r="C581" s="213"/>
      <c r="D581" s="213" t="s">
        <v>196</v>
      </c>
      <c r="E581" s="160">
        <f>'Rekapitulacija Posebni dio'!C726</f>
        <v>0</v>
      </c>
      <c r="F581" s="160">
        <f>'Rekapitulacija Posebni dio'!D726</f>
        <v>0</v>
      </c>
      <c r="G581" s="160"/>
      <c r="H581" s="160">
        <f>'Rekapitulacija Posebni dio'!F726</f>
        <v>0</v>
      </c>
      <c r="I581" s="160">
        <f>'Rekapitulacija Posebni dio'!G726</f>
        <v>0</v>
      </c>
      <c r="J581" s="160">
        <f>'Rekapitulacija Posebni dio'!H726</f>
        <v>0</v>
      </c>
    </row>
    <row r="582" spans="1:10" x14ac:dyDescent="0.25">
      <c r="A582" s="257"/>
      <c r="B582" s="258"/>
      <c r="C582" s="241" t="s">
        <v>72</v>
      </c>
      <c r="D582" s="242" t="s">
        <v>73</v>
      </c>
      <c r="E582" s="147">
        <f t="shared" ref="E582:J582" si="369">E571+E554</f>
        <v>0</v>
      </c>
      <c r="F582" s="147">
        <f t="shared" si="369"/>
        <v>0</v>
      </c>
      <c r="G582" s="147">
        <f t="shared" si="369"/>
        <v>2000</v>
      </c>
      <c r="H582" s="147">
        <f t="shared" si="369"/>
        <v>2000</v>
      </c>
      <c r="I582" s="147">
        <f t="shared" si="369"/>
        <v>2220</v>
      </c>
      <c r="J582" s="147">
        <f t="shared" si="369"/>
        <v>2440.4</v>
      </c>
    </row>
    <row r="583" spans="1:10" x14ac:dyDescent="0.25">
      <c r="A583" s="470"/>
      <c r="B583" s="471"/>
      <c r="C583" s="467" t="s">
        <v>704</v>
      </c>
      <c r="D583" s="468" t="s">
        <v>705</v>
      </c>
      <c r="E583" s="147"/>
      <c r="F583" s="147"/>
      <c r="G583" s="147">
        <f>G582</f>
        <v>2000</v>
      </c>
      <c r="H583" s="147">
        <f>H582</f>
        <v>2000</v>
      </c>
      <c r="I583" s="147">
        <f t="shared" ref="I583:J583" si="370">I582</f>
        <v>2220</v>
      </c>
      <c r="J583" s="147">
        <f t="shared" si="370"/>
        <v>2440.4</v>
      </c>
    </row>
    <row r="584" spans="1:10" x14ac:dyDescent="0.25">
      <c r="A584" s="208" t="s">
        <v>83</v>
      </c>
      <c r="B584" s="208"/>
      <c r="C584" s="209"/>
      <c r="D584" s="210" t="s">
        <v>84</v>
      </c>
      <c r="E584" s="198">
        <f t="shared" ref="E584" si="371">SUM(E589,E586,E593)</f>
        <v>0</v>
      </c>
      <c r="F584" s="198">
        <f t="shared" ref="F584" si="372">SUM(F589,F586,F593)</f>
        <v>0</v>
      </c>
      <c r="G584" s="198">
        <f>SUM(G585)</f>
        <v>11800</v>
      </c>
      <c r="H584" s="198">
        <f>SUM(H585)</f>
        <v>11800</v>
      </c>
      <c r="I584" s="198">
        <f t="shared" ref="I584:J584" si="373">SUM(I585)</f>
        <v>11750</v>
      </c>
      <c r="J584" s="198">
        <f t="shared" si="373"/>
        <v>12000</v>
      </c>
    </row>
    <row r="585" spans="1:10" x14ac:dyDescent="0.25">
      <c r="A585" s="259"/>
      <c r="B585" s="132">
        <v>32</v>
      </c>
      <c r="C585" s="199"/>
      <c r="D585" s="212" t="s">
        <v>99</v>
      </c>
      <c r="E585" s="165"/>
      <c r="F585" s="165"/>
      <c r="G585" s="165">
        <f>G586+G589+G593</f>
        <v>11800</v>
      </c>
      <c r="H585" s="165">
        <f>H586+H589+H593</f>
        <v>11800</v>
      </c>
      <c r="I585" s="165">
        <f t="shared" ref="I585:J585" si="374">I586+I589+I593</f>
        <v>11750</v>
      </c>
      <c r="J585" s="165">
        <f t="shared" si="374"/>
        <v>12000</v>
      </c>
    </row>
    <row r="586" spans="1:10" s="129" customFormat="1" hidden="1" x14ac:dyDescent="0.25">
      <c r="A586" s="259"/>
      <c r="B586" s="260" t="s">
        <v>109</v>
      </c>
      <c r="C586" s="261"/>
      <c r="D586" s="262" t="s">
        <v>110</v>
      </c>
      <c r="E586" s="153">
        <f t="shared" ref="E586:J586" si="375">E587</f>
        <v>0</v>
      </c>
      <c r="F586" s="153">
        <f t="shared" si="375"/>
        <v>0</v>
      </c>
      <c r="G586" s="153"/>
      <c r="H586" s="153">
        <f t="shared" si="375"/>
        <v>0</v>
      </c>
      <c r="I586" s="153">
        <f t="shared" si="375"/>
        <v>0</v>
      </c>
      <c r="J586" s="153">
        <f t="shared" si="375"/>
        <v>0</v>
      </c>
    </row>
    <row r="587" spans="1:10" hidden="1" x14ac:dyDescent="0.25">
      <c r="A587" s="263"/>
      <c r="B587" s="260" t="s">
        <v>113</v>
      </c>
      <c r="C587" s="261"/>
      <c r="D587" s="262" t="s">
        <v>114</v>
      </c>
      <c r="E587" s="161"/>
      <c r="F587" s="161"/>
      <c r="G587" s="161"/>
      <c r="H587" s="161"/>
      <c r="I587" s="161"/>
      <c r="J587" s="161"/>
    </row>
    <row r="588" spans="1:10" hidden="1" x14ac:dyDescent="0.25">
      <c r="A588" s="263"/>
      <c r="B588" s="260" t="s">
        <v>117</v>
      </c>
      <c r="C588" s="261"/>
      <c r="D588" s="262" t="s">
        <v>118</v>
      </c>
      <c r="E588" s="161"/>
      <c r="F588" s="161"/>
      <c r="G588" s="161"/>
      <c r="H588" s="161"/>
      <c r="I588" s="161"/>
      <c r="J588" s="161"/>
    </row>
    <row r="589" spans="1:10" x14ac:dyDescent="0.25">
      <c r="A589" s="257"/>
      <c r="B589" s="136" t="s">
        <v>123</v>
      </c>
      <c r="C589" s="298"/>
      <c r="D589" s="228" t="s">
        <v>124</v>
      </c>
      <c r="E589" s="153">
        <f>E590+E591</f>
        <v>0</v>
      </c>
      <c r="F589" s="153">
        <f t="shared" ref="F589:J589" si="376">F590+F591</f>
        <v>0</v>
      </c>
      <c r="G589" s="153">
        <f t="shared" si="376"/>
        <v>1300</v>
      </c>
      <c r="H589" s="153">
        <f t="shared" si="376"/>
        <v>1300</v>
      </c>
      <c r="I589" s="153">
        <f t="shared" si="376"/>
        <v>1500</v>
      </c>
      <c r="J589" s="153">
        <f t="shared" si="376"/>
        <v>1500</v>
      </c>
    </row>
    <row r="590" spans="1:10" hidden="1" x14ac:dyDescent="0.25">
      <c r="A590" s="257"/>
      <c r="B590" s="136" t="s">
        <v>127</v>
      </c>
      <c r="C590" s="298"/>
      <c r="D590" s="228" t="s">
        <v>128</v>
      </c>
      <c r="E590" s="161"/>
      <c r="F590" s="161"/>
      <c r="G590" s="161"/>
      <c r="H590" s="161"/>
      <c r="I590" s="161"/>
      <c r="J590" s="161"/>
    </row>
    <row r="591" spans="1:10" x14ac:dyDescent="0.25">
      <c r="A591" s="257"/>
      <c r="B591" s="136" t="s">
        <v>131</v>
      </c>
      <c r="C591" s="298"/>
      <c r="D591" s="228" t="s">
        <v>132</v>
      </c>
      <c r="E591" s="153">
        <f>E592</f>
        <v>0</v>
      </c>
      <c r="F591" s="153">
        <f t="shared" ref="F591:J591" si="377">F592</f>
        <v>0</v>
      </c>
      <c r="G591" s="153">
        <f t="shared" si="377"/>
        <v>1300</v>
      </c>
      <c r="H591" s="153">
        <f t="shared" si="377"/>
        <v>1300</v>
      </c>
      <c r="I591" s="153">
        <f t="shared" si="377"/>
        <v>1500</v>
      </c>
      <c r="J591" s="153">
        <f t="shared" si="377"/>
        <v>1500</v>
      </c>
    </row>
    <row r="592" spans="1:10" x14ac:dyDescent="0.25">
      <c r="A592" s="256"/>
      <c r="B592" s="140" t="s">
        <v>602</v>
      </c>
      <c r="C592" s="214"/>
      <c r="D592" s="229" t="s">
        <v>605</v>
      </c>
      <c r="E592" s="161">
        <f>'Rekapitulacija Posebni dio'!C420</f>
        <v>0</v>
      </c>
      <c r="F592" s="161">
        <f>'Rekapitulacija Posebni dio'!D420</f>
        <v>0</v>
      </c>
      <c r="G592" s="161">
        <f>'Rekapitulacija Posebni dio'!E420</f>
        <v>1300</v>
      </c>
      <c r="H592" s="161">
        <f>'Rekapitulacija Posebni dio'!F420</f>
        <v>1300</v>
      </c>
      <c r="I592" s="161">
        <f>'Rekapitulacija Posebni dio'!G420</f>
        <v>1500</v>
      </c>
      <c r="J592" s="161">
        <f>'Rekapitulacija Posebni dio'!H420</f>
        <v>1500</v>
      </c>
    </row>
    <row r="593" spans="1:10" s="129" customFormat="1" x14ac:dyDescent="0.25">
      <c r="A593" s="257"/>
      <c r="B593" s="136" t="s">
        <v>216</v>
      </c>
      <c r="C593" s="298"/>
      <c r="D593" s="228" t="s">
        <v>217</v>
      </c>
      <c r="E593" s="153">
        <f t="shared" ref="E593:J594" si="378">E594</f>
        <v>0</v>
      </c>
      <c r="F593" s="153">
        <f t="shared" si="378"/>
        <v>0</v>
      </c>
      <c r="G593" s="153">
        <f t="shared" si="378"/>
        <v>10500</v>
      </c>
      <c r="H593" s="153">
        <f t="shared" si="378"/>
        <v>10500</v>
      </c>
      <c r="I593" s="153">
        <f t="shared" si="378"/>
        <v>10250</v>
      </c>
      <c r="J593" s="153">
        <f t="shared" si="378"/>
        <v>10500</v>
      </c>
    </row>
    <row r="594" spans="1:10" x14ac:dyDescent="0.25">
      <c r="A594" s="257"/>
      <c r="B594" s="136" t="s">
        <v>228</v>
      </c>
      <c r="C594" s="298"/>
      <c r="D594" s="228" t="s">
        <v>144</v>
      </c>
      <c r="E594" s="153">
        <f>E595</f>
        <v>0</v>
      </c>
      <c r="F594" s="153">
        <f t="shared" si="378"/>
        <v>0</v>
      </c>
      <c r="G594" s="153">
        <f t="shared" si="378"/>
        <v>10500</v>
      </c>
      <c r="H594" s="153">
        <f t="shared" si="378"/>
        <v>10500</v>
      </c>
      <c r="I594" s="153">
        <f t="shared" si="378"/>
        <v>10250</v>
      </c>
      <c r="J594" s="153">
        <f t="shared" si="378"/>
        <v>10500</v>
      </c>
    </row>
    <row r="595" spans="1:10" x14ac:dyDescent="0.25">
      <c r="A595" s="436"/>
      <c r="B595" s="140" t="s">
        <v>516</v>
      </c>
      <c r="C595" s="437"/>
      <c r="D595" s="229" t="s">
        <v>517</v>
      </c>
      <c r="E595" s="161">
        <f>'Rekapitulacija Posebni dio'!C423</f>
        <v>0</v>
      </c>
      <c r="F595" s="161">
        <f>'Rekapitulacija Posebni dio'!D423</f>
        <v>0</v>
      </c>
      <c r="G595" s="161">
        <f>'Rekapitulacija Posebni dio'!E423</f>
        <v>10500</v>
      </c>
      <c r="H595" s="161">
        <f>'Rekapitulacija Posebni dio'!F423</f>
        <v>10500</v>
      </c>
      <c r="I595" s="161">
        <f>'Rekapitulacija Posebni dio'!G423</f>
        <v>10250</v>
      </c>
      <c r="J595" s="161">
        <f>'Rekapitulacija Posebni dio'!H423</f>
        <v>10500</v>
      </c>
    </row>
    <row r="596" spans="1:10" s="278" customFormat="1" hidden="1" x14ac:dyDescent="0.25">
      <c r="A596" s="299">
        <v>4</v>
      </c>
      <c r="B596" s="300"/>
      <c r="C596" s="300"/>
      <c r="D596" s="233" t="s">
        <v>171</v>
      </c>
      <c r="E596" s="250">
        <f t="shared" ref="E596:J596" si="379">E597</f>
        <v>0</v>
      </c>
      <c r="F596" s="250">
        <f t="shared" si="379"/>
        <v>0</v>
      </c>
      <c r="G596" s="250"/>
      <c r="H596" s="250">
        <f t="shared" si="379"/>
        <v>0</v>
      </c>
      <c r="I596" s="250">
        <f t="shared" si="379"/>
        <v>0</v>
      </c>
      <c r="J596" s="250">
        <f t="shared" si="379"/>
        <v>0</v>
      </c>
    </row>
    <row r="597" spans="1:10" hidden="1" x14ac:dyDescent="0.25">
      <c r="A597" s="188"/>
      <c r="B597" s="132">
        <v>42</v>
      </c>
      <c r="C597" s="199"/>
      <c r="D597" s="212" t="s">
        <v>180</v>
      </c>
      <c r="E597" s="135">
        <f t="shared" ref="E597" si="380">SUM(E600,E598)</f>
        <v>0</v>
      </c>
      <c r="F597" s="135">
        <f t="shared" ref="F597:J597" si="381">SUM(F600,F598)</f>
        <v>0</v>
      </c>
      <c r="G597" s="135"/>
      <c r="H597" s="135">
        <f t="shared" si="381"/>
        <v>0</v>
      </c>
      <c r="I597" s="135">
        <f t="shared" si="381"/>
        <v>0</v>
      </c>
      <c r="J597" s="135">
        <f t="shared" si="381"/>
        <v>0</v>
      </c>
    </row>
    <row r="598" spans="1:10" hidden="1" x14ac:dyDescent="0.25">
      <c r="A598" s="188"/>
      <c r="B598" s="150" t="s">
        <v>203</v>
      </c>
      <c r="C598" s="188"/>
      <c r="D598" s="228" t="s">
        <v>204</v>
      </c>
      <c r="E598" s="153">
        <f t="shared" ref="E598:J598" si="382">E599</f>
        <v>0</v>
      </c>
      <c r="F598" s="153">
        <f t="shared" si="382"/>
        <v>0</v>
      </c>
      <c r="G598" s="153"/>
      <c r="H598" s="153">
        <f t="shared" si="382"/>
        <v>0</v>
      </c>
      <c r="I598" s="153">
        <f t="shared" si="382"/>
        <v>0</v>
      </c>
      <c r="J598" s="153">
        <f t="shared" si="382"/>
        <v>0</v>
      </c>
    </row>
    <row r="599" spans="1:10" hidden="1" x14ac:dyDescent="0.25">
      <c r="A599" s="213"/>
      <c r="B599" s="150" t="s">
        <v>205</v>
      </c>
      <c r="C599" s="188"/>
      <c r="D599" s="228" t="s">
        <v>206</v>
      </c>
      <c r="E599" s="161"/>
      <c r="F599" s="161"/>
      <c r="G599" s="161"/>
      <c r="H599" s="161"/>
      <c r="I599" s="161"/>
      <c r="J599" s="161"/>
    </row>
    <row r="600" spans="1:10" hidden="1" x14ac:dyDescent="0.25">
      <c r="A600" s="264"/>
      <c r="B600" s="150">
        <v>422</v>
      </c>
      <c r="C600" s="188"/>
      <c r="D600" s="188" t="s">
        <v>181</v>
      </c>
      <c r="E600" s="157">
        <f t="shared" ref="E600:J601" si="383">SUM(E601)</f>
        <v>0</v>
      </c>
      <c r="F600" s="157">
        <f t="shared" si="383"/>
        <v>0</v>
      </c>
      <c r="G600" s="157"/>
      <c r="H600" s="157">
        <f t="shared" si="383"/>
        <v>0</v>
      </c>
      <c r="I600" s="157">
        <f t="shared" si="383"/>
        <v>0</v>
      </c>
      <c r="J600" s="157">
        <f t="shared" si="383"/>
        <v>0</v>
      </c>
    </row>
    <row r="601" spans="1:10" hidden="1" x14ac:dyDescent="0.25">
      <c r="A601" s="264"/>
      <c r="B601" s="150" t="s">
        <v>226</v>
      </c>
      <c r="C601" s="188"/>
      <c r="D601" s="188" t="s">
        <v>187</v>
      </c>
      <c r="E601" s="157">
        <f t="shared" si="383"/>
        <v>0</v>
      </c>
      <c r="F601" s="157">
        <f t="shared" si="383"/>
        <v>0</v>
      </c>
      <c r="G601" s="157"/>
      <c r="H601" s="157">
        <f t="shared" si="383"/>
        <v>0</v>
      </c>
      <c r="I601" s="157">
        <f t="shared" si="383"/>
        <v>0</v>
      </c>
      <c r="J601" s="157">
        <f t="shared" si="383"/>
        <v>0</v>
      </c>
    </row>
    <row r="602" spans="1:10" hidden="1" x14ac:dyDescent="0.25">
      <c r="A602" s="265"/>
      <c r="B602" s="214" t="s">
        <v>518</v>
      </c>
      <c r="C602" s="213"/>
      <c r="D602" s="286" t="s">
        <v>465</v>
      </c>
      <c r="E602" s="160">
        <f>'Rekapitulacija Posebni dio'!C432</f>
        <v>0</v>
      </c>
      <c r="F602" s="160">
        <f>'Rekapitulacija Posebni dio'!D432</f>
        <v>0</v>
      </c>
      <c r="G602" s="160"/>
      <c r="H602" s="160">
        <f>'Rekapitulacija Posebni dio'!F432</f>
        <v>0</v>
      </c>
      <c r="I602" s="160">
        <f>'Rekapitulacija Posebni dio'!G432</f>
        <v>0</v>
      </c>
      <c r="J602" s="160">
        <f>'Rekapitulacija Posebni dio'!H432</f>
        <v>0</v>
      </c>
    </row>
    <row r="603" spans="1:10" s="129" customFormat="1" hidden="1" x14ac:dyDescent="0.25">
      <c r="A603" s="301"/>
      <c r="B603" s="267" t="s">
        <v>229</v>
      </c>
      <c r="C603" s="201"/>
      <c r="D603" s="201" t="s">
        <v>191</v>
      </c>
      <c r="E603" s="268">
        <f t="shared" ref="E603:J603" si="384">E604</f>
        <v>0</v>
      </c>
      <c r="F603" s="268">
        <f t="shared" si="384"/>
        <v>0</v>
      </c>
      <c r="G603" s="268"/>
      <c r="H603" s="268">
        <f t="shared" si="384"/>
        <v>0</v>
      </c>
      <c r="I603" s="268">
        <f t="shared" si="384"/>
        <v>0</v>
      </c>
      <c r="J603" s="268">
        <f t="shared" si="384"/>
        <v>0</v>
      </c>
    </row>
    <row r="604" spans="1:10" hidden="1" x14ac:dyDescent="0.25">
      <c r="A604" s="266"/>
      <c r="B604" s="267" t="s">
        <v>230</v>
      </c>
      <c r="C604" s="201"/>
      <c r="D604" s="201" t="s">
        <v>192</v>
      </c>
      <c r="E604" s="270"/>
      <c r="F604" s="270"/>
      <c r="G604" s="270"/>
      <c r="H604" s="270"/>
      <c r="I604" s="270"/>
      <c r="J604" s="270"/>
    </row>
    <row r="605" spans="1:10" ht="31.5" x14ac:dyDescent="0.25">
      <c r="A605" s="475"/>
      <c r="B605" s="271"/>
      <c r="C605" s="272" t="s">
        <v>231</v>
      </c>
      <c r="D605" s="273" t="s">
        <v>708</v>
      </c>
      <c r="E605" s="204">
        <f t="shared" ref="E605" si="385">SUM(E597,E584)</f>
        <v>0</v>
      </c>
      <c r="F605" s="204">
        <f t="shared" ref="F605:J605" si="386">SUM(F597,F584)</f>
        <v>0</v>
      </c>
      <c r="G605" s="204">
        <f t="shared" ref="G605" si="387">SUM(G597,G584)</f>
        <v>11800</v>
      </c>
      <c r="H605" s="204">
        <f t="shared" si="386"/>
        <v>11800</v>
      </c>
      <c r="I605" s="204">
        <f t="shared" si="386"/>
        <v>11750</v>
      </c>
      <c r="J605" s="204">
        <f t="shared" si="386"/>
        <v>12000</v>
      </c>
    </row>
    <row r="606" spans="1:10" ht="32.25" thickBot="1" x14ac:dyDescent="0.3">
      <c r="A606" s="475"/>
      <c r="B606" s="271"/>
      <c r="C606" s="272" t="s">
        <v>707</v>
      </c>
      <c r="D606" s="273" t="s">
        <v>709</v>
      </c>
      <c r="E606" s="204"/>
      <c r="F606" s="204"/>
      <c r="G606" s="204">
        <f>G605</f>
        <v>11800</v>
      </c>
      <c r="H606" s="204">
        <f>H605</f>
        <v>11800</v>
      </c>
      <c r="I606" s="204">
        <f t="shared" ref="I606:J606" si="388">I605</f>
        <v>11750</v>
      </c>
      <c r="J606" s="204">
        <f t="shared" si="388"/>
        <v>12000</v>
      </c>
    </row>
    <row r="607" spans="1:10" ht="16.5" thickBot="1" x14ac:dyDescent="0.3">
      <c r="A607" s="558" t="s">
        <v>233</v>
      </c>
      <c r="B607" s="553"/>
      <c r="C607" s="553"/>
      <c r="D607" s="554"/>
      <c r="E607" s="118" t="e">
        <f>E11+E73+E246+E419+E109+E223+E455+E490+E554+E571+E584+E596</f>
        <v>#REF!</v>
      </c>
      <c r="F607" s="118" t="e">
        <f>F11+F73+F246+F419+F109+F223+F455+F490+F554+F571+F584+F596</f>
        <v>#REF!</v>
      </c>
      <c r="G607" s="118">
        <f>G11+G73+G246+G419+G109+G223+G455+G490+G497+G518+G554+G571+G584+G596</f>
        <v>26784175.229999997</v>
      </c>
      <c r="H607" s="118">
        <f t="shared" ref="H607:J607" si="389">H11+H73+H246+H419+H109+H223+H455+H490+H497+H518+H554+H571+H584+H596</f>
        <v>27155403.229999997</v>
      </c>
      <c r="I607" s="118">
        <f t="shared" si="389"/>
        <v>27423628.589999996</v>
      </c>
      <c r="J607" s="118">
        <f t="shared" si="389"/>
        <v>27667151.609999996</v>
      </c>
    </row>
  </sheetData>
  <mergeCells count="6">
    <mergeCell ref="A607:D607"/>
    <mergeCell ref="A1:J1"/>
    <mergeCell ref="A2:J2"/>
    <mergeCell ref="A3:J3"/>
    <mergeCell ref="A5:J5"/>
    <mergeCell ref="A7:D7"/>
  </mergeCells>
  <pageMargins left="0.7" right="0.7" top="0.75" bottom="0.75" header="0.3" footer="0.3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G43"/>
  <sheetViews>
    <sheetView workbookViewId="0">
      <selection activeCell="K25" sqref="K25"/>
    </sheetView>
  </sheetViews>
  <sheetFormatPr defaultColWidth="9.140625" defaultRowHeight="15.75" x14ac:dyDescent="0.25"/>
  <cols>
    <col min="1" max="1" width="37.28515625" style="6" customWidth="1"/>
    <col min="2" max="2" width="13.140625" style="6" hidden="1" customWidth="1"/>
    <col min="3" max="3" width="19.42578125" style="6" hidden="1" customWidth="1"/>
    <col min="4" max="4" width="19.42578125" style="6" customWidth="1"/>
    <col min="5" max="5" width="20" style="6" customWidth="1"/>
    <col min="6" max="7" width="18.85546875" style="6" hidden="1" customWidth="1"/>
    <col min="8" max="16384" width="9.140625" style="6"/>
  </cols>
  <sheetData>
    <row r="2" spans="1:7" ht="15.75" customHeight="1" x14ac:dyDescent="0.25">
      <c r="A2" s="560" t="s">
        <v>379</v>
      </c>
      <c r="B2" s="560"/>
      <c r="C2" s="560"/>
      <c r="D2" s="560"/>
      <c r="E2" s="560"/>
      <c r="F2" s="560"/>
      <c r="G2" s="560"/>
    </row>
    <row r="4" spans="1:7" ht="33.75" customHeight="1" x14ac:dyDescent="0.25">
      <c r="A4" s="485" t="s">
        <v>261</v>
      </c>
      <c r="B4" s="486" t="s">
        <v>552</v>
      </c>
      <c r="C4" s="486" t="s">
        <v>556</v>
      </c>
      <c r="D4" s="487" t="s">
        <v>719</v>
      </c>
      <c r="E4" s="487" t="s">
        <v>554</v>
      </c>
      <c r="F4" s="488" t="s">
        <v>555</v>
      </c>
      <c r="G4" s="489" t="s">
        <v>553</v>
      </c>
    </row>
    <row r="5" spans="1:7" x14ac:dyDescent="0.25">
      <c r="A5" s="490" t="s">
        <v>380</v>
      </c>
      <c r="B5" s="491" t="e">
        <f t="shared" ref="B5:G5" si="0">B6+B8+B10+B15+B21+B23</f>
        <v>#REF!</v>
      </c>
      <c r="C5" s="491" t="e">
        <f t="shared" si="0"/>
        <v>#REF!</v>
      </c>
      <c r="D5" s="491">
        <f t="shared" si="0"/>
        <v>27029768.079999998</v>
      </c>
      <c r="E5" s="491">
        <f t="shared" si="0"/>
        <v>27400996.079999998</v>
      </c>
      <c r="F5" s="491">
        <f t="shared" si="0"/>
        <v>28076192.190000001</v>
      </c>
      <c r="G5" s="491">
        <f t="shared" si="0"/>
        <v>28547127.919999998</v>
      </c>
    </row>
    <row r="6" spans="1:7" x14ac:dyDescent="0.25">
      <c r="A6" s="304" t="s">
        <v>381</v>
      </c>
      <c r="B6" s="305" t="e">
        <f t="shared" ref="B6:C6" si="1">B7</f>
        <v>#REF!</v>
      </c>
      <c r="C6" s="305" t="e">
        <f t="shared" si="1"/>
        <v>#REF!</v>
      </c>
      <c r="D6" s="305">
        <f>D7</f>
        <v>879378.02</v>
      </c>
      <c r="E6" s="305">
        <f>E7</f>
        <v>1250606.02</v>
      </c>
      <c r="F6" s="305">
        <f t="shared" ref="F6:G6" si="2">F7</f>
        <v>1250606.02</v>
      </c>
      <c r="G6" s="305">
        <f t="shared" si="2"/>
        <v>1250606.02</v>
      </c>
    </row>
    <row r="7" spans="1:7" x14ac:dyDescent="0.25">
      <c r="A7" s="306" t="s">
        <v>382</v>
      </c>
      <c r="B7" s="307" t="e">
        <f>'Prihodi po ek klas i izvorima'!E15</f>
        <v>#REF!</v>
      </c>
      <c r="C7" s="307" t="e">
        <f>'Prihodi po ek klas i izvorima'!F15</f>
        <v>#REF!</v>
      </c>
      <c r="D7" s="307">
        <f>'Prihodi po ek klas i izvorima'!G15</f>
        <v>879378.02</v>
      </c>
      <c r="E7" s="307">
        <f>'Prihodi po ek klas i izvorima'!H15</f>
        <v>1250606.02</v>
      </c>
      <c r="F7" s="307">
        <f>'Prihodi po ek klas i izvorima'!I15</f>
        <v>1250606.02</v>
      </c>
      <c r="G7" s="307">
        <f>'Prihodi po ek klas i izvorima'!J15</f>
        <v>1250606.02</v>
      </c>
    </row>
    <row r="8" spans="1:7" x14ac:dyDescent="0.25">
      <c r="A8" s="304" t="s">
        <v>687</v>
      </c>
      <c r="B8" s="305">
        <f t="shared" ref="B8:C8" si="3">B9</f>
        <v>0</v>
      </c>
      <c r="C8" s="305">
        <f t="shared" si="3"/>
        <v>0</v>
      </c>
      <c r="D8" s="305">
        <f>D9</f>
        <v>3805116.33</v>
      </c>
      <c r="E8" s="305">
        <f>E9</f>
        <v>3805116.33</v>
      </c>
      <c r="F8" s="305">
        <f t="shared" ref="F8:G8" si="4">F9</f>
        <v>3851740.33</v>
      </c>
      <c r="G8" s="305">
        <f t="shared" si="4"/>
        <v>3883588.81</v>
      </c>
    </row>
    <row r="9" spans="1:7" x14ac:dyDescent="0.25">
      <c r="A9" s="306" t="s">
        <v>383</v>
      </c>
      <c r="B9" s="307">
        <f>'Prihodi po ek klas i izvorima'!E43</f>
        <v>0</v>
      </c>
      <c r="C9" s="307">
        <f>'Prihodi po ek klas i izvorima'!F43</f>
        <v>0</v>
      </c>
      <c r="D9" s="307">
        <f>'Prihodi po ek klas i izvorima'!G43</f>
        <v>3805116.33</v>
      </c>
      <c r="E9" s="307">
        <f>'Prihodi po ek klas i izvorima'!H43</f>
        <v>3805116.33</v>
      </c>
      <c r="F9" s="307">
        <f>'Prihodi po ek klas i izvorima'!I43</f>
        <v>3851740.33</v>
      </c>
      <c r="G9" s="307">
        <f>'Prihodi po ek klas i izvorima'!J43</f>
        <v>3883588.81</v>
      </c>
    </row>
    <row r="10" spans="1:7" x14ac:dyDescent="0.25">
      <c r="A10" s="492" t="s">
        <v>688</v>
      </c>
      <c r="B10" s="305">
        <f>SUM(B11:B14)</f>
        <v>0</v>
      </c>
      <c r="C10" s="305">
        <f t="shared" ref="C10:G10" si="5">SUM(C11:C14)</f>
        <v>0</v>
      </c>
      <c r="D10" s="305">
        <f t="shared" ref="D10" si="6">SUM(D11:D14)</f>
        <v>21155049.899999999</v>
      </c>
      <c r="E10" s="305">
        <f t="shared" si="5"/>
        <v>21155049.899999999</v>
      </c>
      <c r="F10" s="305">
        <f t="shared" si="5"/>
        <v>21912926.350000001</v>
      </c>
      <c r="G10" s="305">
        <f t="shared" si="5"/>
        <v>22405180.199999999</v>
      </c>
    </row>
    <row r="11" spans="1:7" x14ac:dyDescent="0.25">
      <c r="A11" s="493" t="s">
        <v>665</v>
      </c>
      <c r="B11" s="307">
        <f>'Prihodi po ek klas i izvorima'!E45</f>
        <v>0</v>
      </c>
      <c r="C11" s="307">
        <f>'Prihodi po ek klas i izvorima'!F45</f>
        <v>0</v>
      </c>
      <c r="D11" s="307">
        <f>'Prihodi po ek klas i izvorima'!G45</f>
        <v>100000</v>
      </c>
      <c r="E11" s="307">
        <f>'Prihodi po ek klas i izvorima'!H45</f>
        <v>100000</v>
      </c>
      <c r="F11" s="307">
        <f>'Prihodi po ek klas i izvorima'!I45</f>
        <v>102000</v>
      </c>
      <c r="G11" s="307">
        <f>'Prihodi po ek klas i izvorima'!J45</f>
        <v>104040</v>
      </c>
    </row>
    <row r="12" spans="1:7" x14ac:dyDescent="0.25">
      <c r="A12" s="493" t="s">
        <v>384</v>
      </c>
      <c r="B12" s="307">
        <f>'Prihodi po ek klas i izvorima'!E61</f>
        <v>0</v>
      </c>
      <c r="C12" s="307">
        <f>'Prihodi po ek klas i izvorima'!F61</f>
        <v>0</v>
      </c>
      <c r="D12" s="307">
        <f>'Prihodi po ek klas i izvorima'!G61</f>
        <v>20119749.899999999</v>
      </c>
      <c r="E12" s="307">
        <f>'Prihodi po ek klas i izvorima'!H61</f>
        <v>20119749.899999999</v>
      </c>
      <c r="F12" s="307">
        <f>'Prihodi po ek klas i izvorima'!I61</f>
        <v>20847031.350000001</v>
      </c>
      <c r="G12" s="307">
        <f>'Prihodi po ek klas i izvorima'!J61</f>
        <v>21326580.800000001</v>
      </c>
    </row>
    <row r="13" spans="1:7" ht="31.5" x14ac:dyDescent="0.25">
      <c r="A13" s="494" t="s">
        <v>385</v>
      </c>
      <c r="B13" s="307">
        <f>'Prihodi po ek klas i izvorima'!E49</f>
        <v>0</v>
      </c>
      <c r="C13" s="307">
        <f>'Prihodi po ek klas i izvorima'!F49</f>
        <v>0</v>
      </c>
      <c r="D13" s="307">
        <f>'Prihodi po ek klas i izvorima'!G49</f>
        <v>932300</v>
      </c>
      <c r="E13" s="307">
        <f>'Prihodi po ek klas i izvorima'!H49</f>
        <v>932300</v>
      </c>
      <c r="F13" s="307">
        <f>'Prihodi po ek klas i izvorima'!I49</f>
        <v>960895</v>
      </c>
      <c r="G13" s="307">
        <f>'Prihodi po ek klas i izvorima'!J49</f>
        <v>971559.4</v>
      </c>
    </row>
    <row r="14" spans="1:7" x14ac:dyDescent="0.25">
      <c r="A14" s="493" t="s">
        <v>386</v>
      </c>
      <c r="B14" s="307">
        <f>'Prihodi po ek klas i izvorima'!E65</f>
        <v>0</v>
      </c>
      <c r="C14" s="307">
        <f>'Prihodi po ek klas i izvorima'!F65</f>
        <v>0</v>
      </c>
      <c r="D14" s="307">
        <f>'Prihodi po ek klas i izvorima'!G65</f>
        <v>3000</v>
      </c>
      <c r="E14" s="307">
        <f>'Prihodi po ek klas i izvorima'!H65</f>
        <v>3000</v>
      </c>
      <c r="F14" s="307">
        <f>'Prihodi po ek klas i izvorima'!I65</f>
        <v>3000</v>
      </c>
      <c r="G14" s="307">
        <f>'Prihodi po ek klas i izvorima'!J65</f>
        <v>3000</v>
      </c>
    </row>
    <row r="15" spans="1:7" x14ac:dyDescent="0.25">
      <c r="A15" s="495" t="s">
        <v>689</v>
      </c>
      <c r="B15" s="305" t="e">
        <f t="shared" ref="B15:C15" si="7">B16</f>
        <v>#REF!</v>
      </c>
      <c r="C15" s="305" t="e">
        <f t="shared" si="7"/>
        <v>#REF!</v>
      </c>
      <c r="D15" s="305">
        <f>D16+D17+D19</f>
        <v>1176423.83</v>
      </c>
      <c r="E15" s="305">
        <f t="shared" ref="E15:G15" si="8">E16+E17+E19</f>
        <v>1176423.83</v>
      </c>
      <c r="F15" s="305">
        <f t="shared" si="8"/>
        <v>1047924.49</v>
      </c>
      <c r="G15" s="305">
        <f t="shared" si="8"/>
        <v>994248.49</v>
      </c>
    </row>
    <row r="16" spans="1:7" x14ac:dyDescent="0.25">
      <c r="A16" s="495" t="s">
        <v>387</v>
      </c>
      <c r="B16" s="305" t="e">
        <f>'Prihodi po ek klas i izvorima'!E84</f>
        <v>#REF!</v>
      </c>
      <c r="C16" s="305" t="e">
        <f>'Prihodi po ek klas i izvorima'!F84</f>
        <v>#REF!</v>
      </c>
      <c r="D16" s="305">
        <f>'Prihodi po ek klas i izvorima'!G69+'Prihodi po ek klas i izvorima'!G73+'Prihodi po ek klas i izvorima'!G76+'Prihodi po ek klas i izvorima'!G81</f>
        <v>582814.61</v>
      </c>
      <c r="E16" s="305">
        <f>'Prihodi po ek klas i izvorima'!H69+'Prihodi po ek klas i izvorima'!H73+'Prihodi po ek klas i izvorima'!H76+'Prihodi po ek klas i izvorima'!H81</f>
        <v>582814.61</v>
      </c>
      <c r="F16" s="305">
        <f>'Prihodi po ek klas i izvorima'!I69+'Prihodi po ek klas i izvorima'!I73+'Prihodi po ek klas i izvorima'!I76+'Prihodi po ek klas i izvorima'!I81</f>
        <v>568814.61</v>
      </c>
      <c r="G16" s="305">
        <f>'Prihodi po ek klas i izvorima'!J69+'Prihodi po ek klas i izvorima'!J73+'Prihodi po ek klas i izvorima'!J76+'Prihodi po ek klas i izvorima'!J81</f>
        <v>568814.61</v>
      </c>
    </row>
    <row r="17" spans="1:7" s="42" customFormat="1" x14ac:dyDescent="0.25">
      <c r="A17" s="495" t="s">
        <v>691</v>
      </c>
      <c r="B17" s="305"/>
      <c r="C17" s="305"/>
      <c r="D17" s="305">
        <f>D18</f>
        <v>156200</v>
      </c>
      <c r="E17" s="305">
        <f>E18</f>
        <v>156200</v>
      </c>
      <c r="F17" s="305">
        <f t="shared" ref="F17:G17" si="9">F18</f>
        <v>159324</v>
      </c>
      <c r="G17" s="305">
        <f t="shared" si="9"/>
        <v>162510.48000000001</v>
      </c>
    </row>
    <row r="18" spans="1:7" x14ac:dyDescent="0.25">
      <c r="A18" s="493" t="s">
        <v>692</v>
      </c>
      <c r="B18" s="307"/>
      <c r="C18" s="307"/>
      <c r="D18" s="307">
        <f>'Prihodi po ek klas i izvorima'!G89</f>
        <v>156200</v>
      </c>
      <c r="E18" s="307">
        <f>'Prihodi po ek klas i izvorima'!H89</f>
        <v>156200</v>
      </c>
      <c r="F18" s="307">
        <f>'Prihodi po ek klas i izvorima'!I89</f>
        <v>159324</v>
      </c>
      <c r="G18" s="307">
        <f>'Prihodi po ek klas i izvorima'!J89</f>
        <v>162510.48000000001</v>
      </c>
    </row>
    <row r="19" spans="1:7" s="42" customFormat="1" x14ac:dyDescent="0.25">
      <c r="A19" s="495" t="s">
        <v>693</v>
      </c>
      <c r="B19" s="305"/>
      <c r="C19" s="305"/>
      <c r="D19" s="305">
        <f>D20</f>
        <v>437409.22</v>
      </c>
      <c r="E19" s="305">
        <f>E20</f>
        <v>437409.22</v>
      </c>
      <c r="F19" s="305">
        <f t="shared" ref="F19:G19" si="10">F20</f>
        <v>319785.88</v>
      </c>
      <c r="G19" s="305">
        <f t="shared" si="10"/>
        <v>262923.40000000002</v>
      </c>
    </row>
    <row r="20" spans="1:7" ht="31.5" x14ac:dyDescent="0.25">
      <c r="A20" s="494" t="s">
        <v>694</v>
      </c>
      <c r="B20" s="307"/>
      <c r="C20" s="307"/>
      <c r="D20" s="307">
        <f>'Prihodi po ek klas i izvorima'!G95</f>
        <v>437409.22</v>
      </c>
      <c r="E20" s="307">
        <f>'Prihodi po ek klas i izvorima'!H95</f>
        <v>437409.22</v>
      </c>
      <c r="F20" s="307">
        <f>'Prihodi po ek klas i izvorima'!I95</f>
        <v>319785.88</v>
      </c>
      <c r="G20" s="307">
        <f>'Prihodi po ek klas i izvorima'!J95</f>
        <v>262923.40000000002</v>
      </c>
    </row>
    <row r="21" spans="1:7" x14ac:dyDescent="0.25">
      <c r="A21" s="495" t="s">
        <v>690</v>
      </c>
      <c r="B21" s="305">
        <f t="shared" ref="B21:C21" si="11">B22</f>
        <v>0</v>
      </c>
      <c r="C21" s="305">
        <f t="shared" si="11"/>
        <v>0</v>
      </c>
      <c r="D21" s="305">
        <f>D22</f>
        <v>2000</v>
      </c>
      <c r="E21" s="305">
        <f>E22</f>
        <v>2000</v>
      </c>
      <c r="F21" s="305">
        <f t="shared" ref="F21:G21" si="12">F22</f>
        <v>2220</v>
      </c>
      <c r="G21" s="305">
        <f t="shared" si="12"/>
        <v>2440.4</v>
      </c>
    </row>
    <row r="22" spans="1:7" x14ac:dyDescent="0.25">
      <c r="A22" s="493" t="s">
        <v>388</v>
      </c>
      <c r="B22" s="307">
        <f>'Prihodi po ek klas i izvorima'!E105</f>
        <v>0</v>
      </c>
      <c r="C22" s="307">
        <f>'Prihodi po ek klas i izvorima'!F105</f>
        <v>0</v>
      </c>
      <c r="D22" s="307">
        <f>'Prihodi po ek klas i izvorima'!G105</f>
        <v>2000</v>
      </c>
      <c r="E22" s="307">
        <f>'Prihodi po ek klas i izvorima'!H105</f>
        <v>2000</v>
      </c>
      <c r="F22" s="307">
        <f>'Prihodi po ek klas i izvorima'!I105</f>
        <v>2220</v>
      </c>
      <c r="G22" s="307">
        <f>'Prihodi po ek klas i izvorima'!J105</f>
        <v>2440.4</v>
      </c>
    </row>
    <row r="23" spans="1:7" ht="31.5" x14ac:dyDescent="0.25">
      <c r="A23" s="308" t="s">
        <v>696</v>
      </c>
      <c r="B23" s="305">
        <f t="shared" ref="B23:C23" si="13">B24</f>
        <v>0</v>
      </c>
      <c r="C23" s="305">
        <f t="shared" si="13"/>
        <v>0</v>
      </c>
      <c r="D23" s="305">
        <f>D24</f>
        <v>11800</v>
      </c>
      <c r="E23" s="305">
        <f>E24</f>
        <v>11800</v>
      </c>
      <c r="F23" s="305">
        <f t="shared" ref="F23:G23" si="14">F24</f>
        <v>10775</v>
      </c>
      <c r="G23" s="305">
        <f t="shared" si="14"/>
        <v>11064</v>
      </c>
    </row>
    <row r="24" spans="1:7" ht="31.5" x14ac:dyDescent="0.25">
      <c r="A24" s="494" t="s">
        <v>389</v>
      </c>
      <c r="B24" s="496">
        <f>'Prihodi po ek klas i izvorima'!E111+'Prihodi po ek klas i izvorima'!E120</f>
        <v>0</v>
      </c>
      <c r="C24" s="496">
        <f>'Prihodi po ek klas i izvorima'!F111+'Prihodi po ek klas i izvorima'!F120</f>
        <v>0</v>
      </c>
      <c r="D24" s="496">
        <f>'Prihodi po ek klas i izvorima'!G111+'Prihodi po ek klas i izvorima'!G120</f>
        <v>11800</v>
      </c>
      <c r="E24" s="496">
        <f>'Prihodi po ek klas i izvorima'!H111+'Prihodi po ek klas i izvorima'!H120</f>
        <v>11800</v>
      </c>
      <c r="F24" s="496">
        <f>'Prihodi po ek klas i izvorima'!I111+'Prihodi po ek klas i izvorima'!I120</f>
        <v>10775</v>
      </c>
      <c r="G24" s="496">
        <f>'Prihodi po ek klas i izvorima'!J111+'Prihodi po ek klas i izvorima'!J120</f>
        <v>11064</v>
      </c>
    </row>
    <row r="25" spans="1:7" x14ac:dyDescent="0.25">
      <c r="A25" s="493"/>
      <c r="B25" s="309"/>
      <c r="C25" s="309"/>
      <c r="D25" s="309"/>
      <c r="E25" s="309"/>
      <c r="F25" s="309"/>
      <c r="G25" s="309"/>
    </row>
    <row r="26" spans="1:7" x14ac:dyDescent="0.25">
      <c r="A26" s="493"/>
      <c r="B26" s="309"/>
      <c r="C26" s="309"/>
      <c r="D26" s="309"/>
      <c r="E26" s="309"/>
      <c r="F26" s="309"/>
      <c r="G26" s="309"/>
    </row>
    <row r="27" spans="1:7" x14ac:dyDescent="0.25">
      <c r="A27" s="497" t="s">
        <v>367</v>
      </c>
      <c r="B27" s="491" t="e">
        <f t="shared" ref="B27:G27" si="15">B28+B30+B32+B34+B40+B42</f>
        <v>#REF!</v>
      </c>
      <c r="C27" s="491" t="e">
        <f t="shared" si="15"/>
        <v>#REF!</v>
      </c>
      <c r="D27" s="491">
        <f t="shared" si="15"/>
        <v>26784175.229999997</v>
      </c>
      <c r="E27" s="491">
        <f t="shared" si="15"/>
        <v>27155403.229999997</v>
      </c>
      <c r="F27" s="491">
        <f t="shared" si="15"/>
        <v>27423628.589999996</v>
      </c>
      <c r="G27" s="491">
        <f t="shared" si="15"/>
        <v>27667151.609999996</v>
      </c>
    </row>
    <row r="28" spans="1:7" x14ac:dyDescent="0.25">
      <c r="A28" s="304" t="s">
        <v>381</v>
      </c>
      <c r="B28" s="498" t="e">
        <f t="shared" ref="B28:C28" si="16">B29</f>
        <v>#REF!</v>
      </c>
      <c r="C28" s="498" t="e">
        <f t="shared" si="16"/>
        <v>#REF!</v>
      </c>
      <c r="D28" s="498">
        <f>D29</f>
        <v>879378.02</v>
      </c>
      <c r="E28" s="498">
        <f>E29</f>
        <v>1250606.02</v>
      </c>
      <c r="F28" s="498">
        <f t="shared" ref="F28:G28" si="17">F29</f>
        <v>1250606.02</v>
      </c>
      <c r="G28" s="498">
        <f t="shared" si="17"/>
        <v>1250606.02</v>
      </c>
    </row>
    <row r="29" spans="1:7" x14ac:dyDescent="0.25">
      <c r="A29" s="306" t="s">
        <v>382</v>
      </c>
      <c r="B29" s="309" t="e">
        <f>' PRIHODI I RASHODI-izvori'!E107</f>
        <v>#REF!</v>
      </c>
      <c r="C29" s="309" t="e">
        <f>' PRIHODI I RASHODI-izvori'!F107</f>
        <v>#REF!</v>
      </c>
      <c r="D29" s="309">
        <f>' PRIHODI I RASHODI-izvori'!G107</f>
        <v>879378.02</v>
      </c>
      <c r="E29" s="309">
        <f>' PRIHODI I RASHODI-izvori'!H107</f>
        <v>1250606.02</v>
      </c>
      <c r="F29" s="309">
        <f>' PRIHODI I RASHODI-izvori'!I107</f>
        <v>1250606.02</v>
      </c>
      <c r="G29" s="309">
        <f>' PRIHODI I RASHODI-izvori'!J107</f>
        <v>1250606.02</v>
      </c>
    </row>
    <row r="30" spans="1:7" x14ac:dyDescent="0.25">
      <c r="A30" s="304" t="s">
        <v>687</v>
      </c>
      <c r="B30" s="498">
        <f t="shared" ref="B30:C30" si="18">B31</f>
        <v>0</v>
      </c>
      <c r="C30" s="498">
        <f t="shared" si="18"/>
        <v>0</v>
      </c>
      <c r="D30" s="498">
        <f>D31</f>
        <v>3804916.33</v>
      </c>
      <c r="E30" s="498">
        <f>E31</f>
        <v>3804916.33</v>
      </c>
      <c r="F30" s="498">
        <f t="shared" ref="F30:G30" si="19">F31</f>
        <v>3850540.33</v>
      </c>
      <c r="G30" s="498">
        <f t="shared" si="19"/>
        <v>3882388.81</v>
      </c>
    </row>
    <row r="31" spans="1:7" x14ac:dyDescent="0.25">
      <c r="A31" s="306" t="s">
        <v>383</v>
      </c>
      <c r="B31" s="309">
        <f>' PRIHODI I RASHODI-izvori'!E244</f>
        <v>0</v>
      </c>
      <c r="C31" s="309">
        <f>' PRIHODI I RASHODI-izvori'!F244</f>
        <v>0</v>
      </c>
      <c r="D31" s="309">
        <f>' PRIHODI I RASHODI-izvori'!G244</f>
        <v>3804916.33</v>
      </c>
      <c r="E31" s="309">
        <f>' PRIHODI I RASHODI-izvori'!H244</f>
        <v>3804916.33</v>
      </c>
      <c r="F31" s="309">
        <f>' PRIHODI I RASHODI-izvori'!I244</f>
        <v>3850540.33</v>
      </c>
      <c r="G31" s="309">
        <f>' PRIHODI I RASHODI-izvori'!J244</f>
        <v>3882388.81</v>
      </c>
    </row>
    <row r="32" spans="1:7" x14ac:dyDescent="0.25">
      <c r="A32" s="492" t="s">
        <v>688</v>
      </c>
      <c r="B32" s="498">
        <f t="shared" ref="B32:C32" si="20">B33</f>
        <v>0</v>
      </c>
      <c r="C32" s="498">
        <f t="shared" si="20"/>
        <v>0</v>
      </c>
      <c r="D32" s="498">
        <f>D33</f>
        <v>21410157.050000001</v>
      </c>
      <c r="E32" s="498">
        <f>E33</f>
        <v>21410157.050000001</v>
      </c>
      <c r="F32" s="498">
        <f t="shared" ref="F32:G32" si="21">F33</f>
        <v>21715388.41</v>
      </c>
      <c r="G32" s="498">
        <f t="shared" si="21"/>
        <v>22025967.890000001</v>
      </c>
    </row>
    <row r="33" spans="1:7" x14ac:dyDescent="0.25">
      <c r="A33" s="493" t="s">
        <v>390</v>
      </c>
      <c r="B33" s="309">
        <f>' PRIHODI I RASHODI-izvori'!E453</f>
        <v>0</v>
      </c>
      <c r="C33" s="309">
        <f>' PRIHODI I RASHODI-izvori'!F453</f>
        <v>0</v>
      </c>
      <c r="D33" s="309">
        <f>' PRIHODI I RASHODI-izvori'!G453</f>
        <v>21410157.050000001</v>
      </c>
      <c r="E33" s="309">
        <f>' PRIHODI I RASHODI-izvori'!H453</f>
        <v>21410157.050000001</v>
      </c>
      <c r="F33" s="309">
        <f>' PRIHODI I RASHODI-izvori'!I453</f>
        <v>21715388.41</v>
      </c>
      <c r="G33" s="309">
        <f>' PRIHODI I RASHODI-izvori'!J453</f>
        <v>22025967.890000001</v>
      </c>
    </row>
    <row r="34" spans="1:7" x14ac:dyDescent="0.25">
      <c r="A34" s="495" t="s">
        <v>689</v>
      </c>
      <c r="B34" s="498" t="e">
        <f t="shared" ref="B34:C34" si="22">B35</f>
        <v>#REF!</v>
      </c>
      <c r="C34" s="498" t="e">
        <f t="shared" si="22"/>
        <v>#REF!</v>
      </c>
      <c r="D34" s="498">
        <f>D35+D36+D38</f>
        <v>675923.83</v>
      </c>
      <c r="E34" s="498">
        <f t="shared" ref="E34:G34" si="23">E35+E36+E38</f>
        <v>675923.83</v>
      </c>
      <c r="F34" s="498">
        <f t="shared" si="23"/>
        <v>593123.82999999996</v>
      </c>
      <c r="G34" s="498">
        <f t="shared" si="23"/>
        <v>493748.49</v>
      </c>
    </row>
    <row r="35" spans="1:7" s="42" customFormat="1" x14ac:dyDescent="0.25">
      <c r="A35" s="495" t="s">
        <v>387</v>
      </c>
      <c r="B35" s="498" t="e">
        <f>' PRIHODI I RASHODI-izvori'!E496</f>
        <v>#REF!</v>
      </c>
      <c r="C35" s="498" t="e">
        <f>' PRIHODI I RASHODI-izvori'!F496</f>
        <v>#REF!</v>
      </c>
      <c r="D35" s="498">
        <f>' PRIHODI I RASHODI-izvori'!G496</f>
        <v>82314.61</v>
      </c>
      <c r="E35" s="498">
        <f>' PRIHODI I RASHODI-izvori'!H496</f>
        <v>82314.61</v>
      </c>
      <c r="F35" s="498">
        <f>' PRIHODI I RASHODI-izvori'!I496</f>
        <v>68314.61</v>
      </c>
      <c r="G35" s="498">
        <f>' PRIHODI I RASHODI-izvori'!J496</f>
        <v>68314.61</v>
      </c>
    </row>
    <row r="36" spans="1:7" x14ac:dyDescent="0.25">
      <c r="A36" s="495" t="s">
        <v>691</v>
      </c>
      <c r="B36" s="309"/>
      <c r="C36" s="309"/>
      <c r="D36" s="498">
        <f>D37</f>
        <v>156200</v>
      </c>
      <c r="E36" s="498">
        <f>E37</f>
        <v>156200</v>
      </c>
      <c r="F36" s="498">
        <f t="shared" ref="F36:G36" si="24">F37</f>
        <v>159324</v>
      </c>
      <c r="G36" s="498">
        <f t="shared" si="24"/>
        <v>162510.47999999998</v>
      </c>
    </row>
    <row r="37" spans="1:7" x14ac:dyDescent="0.25">
      <c r="A37" s="493" t="s">
        <v>692</v>
      </c>
      <c r="B37" s="309"/>
      <c r="C37" s="309"/>
      <c r="D37" s="309">
        <f>' PRIHODI I RASHODI-izvori'!G516</f>
        <v>156200</v>
      </c>
      <c r="E37" s="309">
        <f>' PRIHODI I RASHODI-izvori'!H516</f>
        <v>156200</v>
      </c>
      <c r="F37" s="309">
        <f>' PRIHODI I RASHODI-izvori'!I516</f>
        <v>159324</v>
      </c>
      <c r="G37" s="309">
        <f>' PRIHODI I RASHODI-izvori'!J516</f>
        <v>162510.47999999998</v>
      </c>
    </row>
    <row r="38" spans="1:7" x14ac:dyDescent="0.25">
      <c r="A38" s="495" t="s">
        <v>693</v>
      </c>
      <c r="B38" s="309"/>
      <c r="C38" s="309"/>
      <c r="D38" s="498">
        <f>D39</f>
        <v>437409.22</v>
      </c>
      <c r="E38" s="498">
        <f>E39</f>
        <v>437409.22</v>
      </c>
      <c r="F38" s="498">
        <f t="shared" ref="F38:G38" si="25">F39</f>
        <v>365485.22</v>
      </c>
      <c r="G38" s="498">
        <f t="shared" si="25"/>
        <v>262923.40000000002</v>
      </c>
    </row>
    <row r="39" spans="1:7" ht="31.5" x14ac:dyDescent="0.25">
      <c r="A39" s="494" t="s">
        <v>694</v>
      </c>
      <c r="B39" s="309"/>
      <c r="C39" s="309"/>
      <c r="D39" s="309">
        <f>' PRIHODI I RASHODI-izvori'!G551</f>
        <v>437409.22</v>
      </c>
      <c r="E39" s="309">
        <f>' PRIHODI I RASHODI-izvori'!H551</f>
        <v>437409.22</v>
      </c>
      <c r="F39" s="309">
        <f>' PRIHODI I RASHODI-izvori'!I551</f>
        <v>365485.22</v>
      </c>
      <c r="G39" s="309">
        <f>' PRIHODI I RASHODI-izvori'!J551</f>
        <v>262923.40000000002</v>
      </c>
    </row>
    <row r="40" spans="1:7" x14ac:dyDescent="0.25">
      <c r="A40" s="495" t="s">
        <v>690</v>
      </c>
      <c r="B40" s="498">
        <f t="shared" ref="B40:C40" si="26">B41</f>
        <v>0</v>
      </c>
      <c r="C40" s="498">
        <f t="shared" si="26"/>
        <v>0</v>
      </c>
      <c r="D40" s="498">
        <f>D41</f>
        <v>2000</v>
      </c>
      <c r="E40" s="498">
        <f>E41</f>
        <v>2000</v>
      </c>
      <c r="F40" s="498">
        <f t="shared" ref="F40:G40" si="27">F41</f>
        <v>2220</v>
      </c>
      <c r="G40" s="498">
        <f t="shared" si="27"/>
        <v>2440.4</v>
      </c>
    </row>
    <row r="41" spans="1:7" x14ac:dyDescent="0.25">
      <c r="A41" s="493" t="s">
        <v>388</v>
      </c>
      <c r="B41" s="309">
        <f>' PRIHODI I RASHODI-izvori'!E582</f>
        <v>0</v>
      </c>
      <c r="C41" s="309">
        <f>' PRIHODI I RASHODI-izvori'!F582</f>
        <v>0</v>
      </c>
      <c r="D41" s="309">
        <f>' PRIHODI I RASHODI-izvori'!G582</f>
        <v>2000</v>
      </c>
      <c r="E41" s="309">
        <f>' PRIHODI I RASHODI-izvori'!H582</f>
        <v>2000</v>
      </c>
      <c r="F41" s="309">
        <f>' PRIHODI I RASHODI-izvori'!I582</f>
        <v>2220</v>
      </c>
      <c r="G41" s="309">
        <f>' PRIHODI I RASHODI-izvori'!J582</f>
        <v>2440.4</v>
      </c>
    </row>
    <row r="42" spans="1:7" ht="31.5" x14ac:dyDescent="0.25">
      <c r="A42" s="499" t="s">
        <v>696</v>
      </c>
      <c r="B42" s="498">
        <f t="shared" ref="B42:C42" si="28">B43</f>
        <v>0</v>
      </c>
      <c r="C42" s="498">
        <f t="shared" si="28"/>
        <v>0</v>
      </c>
      <c r="D42" s="498">
        <f>D43</f>
        <v>11800</v>
      </c>
      <c r="E42" s="498">
        <f>E43</f>
        <v>11800</v>
      </c>
      <c r="F42" s="498">
        <f t="shared" ref="F42:G42" si="29">F43</f>
        <v>11750</v>
      </c>
      <c r="G42" s="498">
        <f t="shared" si="29"/>
        <v>12000</v>
      </c>
    </row>
    <row r="43" spans="1:7" ht="31.5" x14ac:dyDescent="0.25">
      <c r="A43" s="500" t="s">
        <v>389</v>
      </c>
      <c r="B43" s="309">
        <f>' PRIHODI I RASHODI-izvori'!E605</f>
        <v>0</v>
      </c>
      <c r="C43" s="309">
        <f>' PRIHODI I RASHODI-izvori'!F605</f>
        <v>0</v>
      </c>
      <c r="D43" s="309">
        <f>' PRIHODI I RASHODI-izvori'!G605</f>
        <v>11800</v>
      </c>
      <c r="E43" s="309">
        <f>' PRIHODI I RASHODI-izvori'!H605</f>
        <v>11800</v>
      </c>
      <c r="F43" s="309">
        <f>' PRIHODI I RASHODI-izvori'!I605</f>
        <v>11750</v>
      </c>
      <c r="G43" s="309">
        <f>' PRIHODI I RASHODI-izvori'!J605</f>
        <v>12000</v>
      </c>
    </row>
  </sheetData>
  <mergeCells count="1">
    <mergeCell ref="A2:G2"/>
  </mergeCell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1"/>
  <sheetViews>
    <sheetView workbookViewId="0">
      <selection activeCell="G3" sqref="F1:G1048576"/>
    </sheetView>
  </sheetViews>
  <sheetFormatPr defaultColWidth="16.85546875" defaultRowHeight="15.75" x14ac:dyDescent="0.25"/>
  <cols>
    <col min="1" max="1" width="34.42578125" style="74" customWidth="1"/>
    <col min="2" max="2" width="16.85546875" style="74" hidden="1" customWidth="1"/>
    <col min="3" max="3" width="19.28515625" style="74" hidden="1" customWidth="1"/>
    <col min="4" max="4" width="19.28515625" style="74" customWidth="1"/>
    <col min="5" max="5" width="18.140625" style="74" bestFit="1" customWidth="1"/>
    <col min="6" max="6" width="19.140625" style="74" hidden="1" customWidth="1"/>
    <col min="7" max="7" width="18.85546875" style="74" hidden="1" customWidth="1"/>
    <col min="8" max="16384" width="16.85546875" style="74"/>
  </cols>
  <sheetData>
    <row r="1" spans="1:7" x14ac:dyDescent="0.25">
      <c r="A1" s="555"/>
      <c r="B1" s="555"/>
      <c r="C1" s="555"/>
      <c r="D1" s="555"/>
      <c r="E1" s="555"/>
      <c r="F1" s="555"/>
      <c r="G1" s="555"/>
    </row>
    <row r="2" spans="1:7" x14ac:dyDescent="0.25">
      <c r="A2" s="555" t="s">
        <v>0</v>
      </c>
      <c r="B2" s="555"/>
      <c r="C2" s="555"/>
      <c r="D2" s="555"/>
      <c r="E2" s="555"/>
      <c r="F2" s="555"/>
      <c r="G2" s="555"/>
    </row>
    <row r="3" spans="1:7" x14ac:dyDescent="0.25">
      <c r="A3" s="110"/>
      <c r="B3" s="110"/>
      <c r="C3" s="110"/>
      <c r="D3" s="110"/>
      <c r="E3" s="110"/>
      <c r="F3" s="110"/>
      <c r="G3" s="110"/>
    </row>
    <row r="4" spans="1:7" x14ac:dyDescent="0.25">
      <c r="A4" s="555" t="s">
        <v>365</v>
      </c>
      <c r="B4" s="555"/>
      <c r="C4" s="555"/>
      <c r="D4" s="555"/>
      <c r="E4" s="555"/>
      <c r="F4" s="555"/>
      <c r="G4" s="561"/>
    </row>
    <row r="5" spans="1:7" x14ac:dyDescent="0.25">
      <c r="A5" s="110"/>
      <c r="B5" s="110"/>
      <c r="C5" s="110"/>
      <c r="D5" s="110"/>
      <c r="E5" s="110"/>
      <c r="F5" s="110"/>
      <c r="G5" s="110"/>
    </row>
    <row r="6" spans="1:7" x14ac:dyDescent="0.25">
      <c r="A6" s="555" t="s">
        <v>366</v>
      </c>
      <c r="B6" s="555"/>
      <c r="C6" s="555"/>
      <c r="D6" s="555"/>
      <c r="E6" s="555"/>
      <c r="F6" s="555"/>
      <c r="G6" s="562"/>
    </row>
    <row r="7" spans="1:7" x14ac:dyDescent="0.25">
      <c r="A7" s="110"/>
      <c r="B7" s="110"/>
      <c r="C7" s="110"/>
      <c r="D7" s="110"/>
      <c r="E7" s="110"/>
      <c r="F7" s="110"/>
      <c r="G7" s="110"/>
    </row>
    <row r="8" spans="1:7" ht="47.25" x14ac:dyDescent="0.25">
      <c r="A8" s="458" t="s">
        <v>261</v>
      </c>
      <c r="B8" s="119" t="s">
        <v>552</v>
      </c>
      <c r="C8" s="119" t="s">
        <v>556</v>
      </c>
      <c r="D8" s="275" t="s">
        <v>719</v>
      </c>
      <c r="E8" s="275" t="s">
        <v>554</v>
      </c>
      <c r="F8" s="113" t="s">
        <v>555</v>
      </c>
      <c r="G8" s="114" t="s">
        <v>553</v>
      </c>
    </row>
    <row r="9" spans="1:7" s="411" customFormat="1" x14ac:dyDescent="0.25">
      <c r="A9" s="459">
        <v>1</v>
      </c>
      <c r="B9" s="407">
        <v>2</v>
      </c>
      <c r="C9" s="407">
        <v>3</v>
      </c>
      <c r="D9" s="407"/>
      <c r="E9" s="408">
        <v>4</v>
      </c>
      <c r="F9" s="409">
        <v>5</v>
      </c>
      <c r="G9" s="410">
        <v>6</v>
      </c>
    </row>
    <row r="10" spans="1:7" s="411" customFormat="1" x14ac:dyDescent="0.25">
      <c r="A10" s="302" t="s">
        <v>367</v>
      </c>
      <c r="B10" s="303" t="e">
        <f>'RASHODI-ek.kl.'!D274</f>
        <v>#REF!</v>
      </c>
      <c r="C10" s="303" t="e">
        <f>'RASHODI-ek.kl.'!E274</f>
        <v>#REF!</v>
      </c>
      <c r="D10" s="303">
        <f>'RASHODI-ek.kl.'!F274</f>
        <v>26784175.230000004</v>
      </c>
      <c r="E10" s="303">
        <f>'RASHODI-ek.kl.'!G274</f>
        <v>27155403.23</v>
      </c>
      <c r="F10" s="412">
        <f>'RASHODI-ek.kl.'!H274</f>
        <v>27423628.59</v>
      </c>
      <c r="G10" s="412">
        <f>'RASHODI-ek.kl.'!I274</f>
        <v>27667151.609999999</v>
      </c>
    </row>
    <row r="11" spans="1:7" s="89" customFormat="1" x14ac:dyDescent="0.25">
      <c r="A11" s="304" t="s">
        <v>368</v>
      </c>
      <c r="B11" s="305" t="e">
        <f t="shared" ref="B11:C11" si="0">B12</f>
        <v>#REF!</v>
      </c>
      <c r="C11" s="305" t="e">
        <f t="shared" si="0"/>
        <v>#REF!</v>
      </c>
      <c r="D11" s="305">
        <f>D12</f>
        <v>26784175.23</v>
      </c>
      <c r="E11" s="305">
        <f>E12</f>
        <v>27155403.229999997</v>
      </c>
      <c r="F11" s="413">
        <f t="shared" ref="F11:G11" si="1">F12</f>
        <v>27423628.590000004</v>
      </c>
      <c r="G11" s="413">
        <f t="shared" si="1"/>
        <v>27667151.609999999</v>
      </c>
    </row>
    <row r="12" spans="1:7" s="89" customFormat="1" x14ac:dyDescent="0.25">
      <c r="A12" s="304" t="s">
        <v>369</v>
      </c>
      <c r="B12" s="305" t="e">
        <f t="shared" ref="B12:C12" si="2">B13+B14+B15</f>
        <v>#REF!</v>
      </c>
      <c r="C12" s="305" t="e">
        <f t="shared" si="2"/>
        <v>#REF!</v>
      </c>
      <c r="D12" s="305">
        <f>D13+D14+D15</f>
        <v>26784175.23</v>
      </c>
      <c r="E12" s="305">
        <f>E13+E14+E15</f>
        <v>27155403.229999997</v>
      </c>
      <c r="F12" s="413">
        <f t="shared" ref="F12:G12" si="3">F13+F14+F15</f>
        <v>27423628.590000004</v>
      </c>
      <c r="G12" s="413">
        <f t="shared" si="3"/>
        <v>27667151.609999999</v>
      </c>
    </row>
    <row r="13" spans="1:7" s="89" customFormat="1" x14ac:dyDescent="0.25">
      <c r="A13" s="306" t="s">
        <v>370</v>
      </c>
      <c r="B13" s="307" t="e">
        <f t="shared" ref="B13:D13" si="4">ROUND(B10*0.6,2)</f>
        <v>#REF!</v>
      </c>
      <c r="C13" s="307" t="e">
        <f t="shared" si="4"/>
        <v>#REF!</v>
      </c>
      <c r="D13" s="307">
        <f t="shared" si="4"/>
        <v>16070505.140000001</v>
      </c>
      <c r="E13" s="307">
        <f t="shared" ref="E13:F13" si="5">ROUND(E10*0.6,2)</f>
        <v>16293241.939999999</v>
      </c>
      <c r="F13" s="414">
        <f t="shared" si="5"/>
        <v>16454177.15</v>
      </c>
      <c r="G13" s="415">
        <f>ROUND(G10*0.6,2)</f>
        <v>16600290.970000001</v>
      </c>
    </row>
    <row r="14" spans="1:7" s="89" customFormat="1" x14ac:dyDescent="0.25">
      <c r="A14" s="306" t="s">
        <v>371</v>
      </c>
      <c r="B14" s="307" t="e">
        <f t="shared" ref="B14:D14" si="6">ROUND(B10*0.15,2)</f>
        <v>#REF!</v>
      </c>
      <c r="C14" s="307" t="e">
        <f t="shared" si="6"/>
        <v>#REF!</v>
      </c>
      <c r="D14" s="307">
        <f t="shared" si="6"/>
        <v>4017626.28</v>
      </c>
      <c r="E14" s="307">
        <f t="shared" ref="E14:F14" si="7">ROUND(E10*0.15,2)</f>
        <v>4073310.48</v>
      </c>
      <c r="F14" s="414">
        <f t="shared" si="7"/>
        <v>4113544.29</v>
      </c>
      <c r="G14" s="415">
        <f>ROUND(G10*0.15,2)</f>
        <v>4150072.74</v>
      </c>
    </row>
    <row r="15" spans="1:7" s="89" customFormat="1" x14ac:dyDescent="0.25">
      <c r="A15" s="306" t="s">
        <v>372</v>
      </c>
      <c r="B15" s="307" t="e">
        <f t="shared" ref="B15:D15" si="8">ROUND(B10*0.25,2)</f>
        <v>#REF!</v>
      </c>
      <c r="C15" s="307" t="e">
        <f t="shared" si="8"/>
        <v>#REF!</v>
      </c>
      <c r="D15" s="307">
        <f t="shared" si="8"/>
        <v>6696043.8099999996</v>
      </c>
      <c r="E15" s="307">
        <f t="shared" ref="E15:F15" si="9">ROUND(E10*0.25,2)</f>
        <v>6788850.8099999996</v>
      </c>
      <c r="F15" s="414">
        <f t="shared" si="9"/>
        <v>6855907.1500000004</v>
      </c>
      <c r="G15" s="415">
        <f>ROUND(G10*0.25,2)</f>
        <v>6916787.9000000004</v>
      </c>
    </row>
    <row r="16" spans="1:7" s="419" customFormat="1" x14ac:dyDescent="0.25">
      <c r="A16" s="308" t="s">
        <v>373</v>
      </c>
      <c r="B16" s="308"/>
      <c r="C16" s="308"/>
      <c r="D16" s="416">
        <f>D17</f>
        <v>0</v>
      </c>
      <c r="E16" s="416">
        <f>E17</f>
        <v>0</v>
      </c>
      <c r="F16" s="417">
        <f>F17</f>
        <v>0</v>
      </c>
      <c r="G16" s="418">
        <f>G17</f>
        <v>0</v>
      </c>
    </row>
    <row r="17" spans="1:7" s="423" customFormat="1" x14ac:dyDescent="0.25">
      <c r="A17" s="420" t="s">
        <v>374</v>
      </c>
      <c r="B17" s="420"/>
      <c r="C17" s="420"/>
      <c r="D17" s="421"/>
      <c r="E17" s="421"/>
      <c r="F17" s="422"/>
      <c r="G17" s="309"/>
    </row>
    <row r="18" spans="1:7" s="89" customFormat="1" x14ac:dyDescent="0.25">
      <c r="A18" s="428" t="s">
        <v>375</v>
      </c>
      <c r="B18" s="424"/>
      <c r="C18" s="424"/>
      <c r="D18" s="425">
        <v>0</v>
      </c>
      <c r="E18" s="425">
        <v>0</v>
      </c>
      <c r="F18" s="426">
        <v>0</v>
      </c>
      <c r="G18" s="427">
        <v>0</v>
      </c>
    </row>
    <row r="21" spans="1:7" x14ac:dyDescent="0.25">
      <c r="G21" s="406"/>
    </row>
  </sheetData>
  <mergeCells count="4">
    <mergeCell ref="A1:G1"/>
    <mergeCell ref="A2:G2"/>
    <mergeCell ref="A4:G4"/>
    <mergeCell ref="A6:G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751"/>
  <sheetViews>
    <sheetView zoomScaleNormal="100" workbookViewId="0">
      <selection activeCell="H3" sqref="G1:H1048576"/>
    </sheetView>
  </sheetViews>
  <sheetFormatPr defaultColWidth="9.140625" defaultRowHeight="15.75" x14ac:dyDescent="0.25"/>
  <cols>
    <col min="1" max="1" width="15.140625" style="348" bestFit="1" customWidth="1"/>
    <col min="2" max="2" width="63.140625" style="348" bestFit="1" customWidth="1"/>
    <col min="3" max="3" width="13.5703125" style="348" hidden="1" customWidth="1"/>
    <col min="4" max="4" width="19.85546875" style="348" hidden="1" customWidth="1"/>
    <col min="5" max="5" width="20.5703125" style="348" customWidth="1"/>
    <col min="6" max="6" width="18.140625" style="358" bestFit="1" customWidth="1"/>
    <col min="7" max="8" width="18.85546875" style="358" hidden="1" customWidth="1"/>
    <col min="9" max="16384" width="9.140625" style="341"/>
  </cols>
  <sheetData>
    <row r="1" spans="1:8" s="323" customFormat="1" x14ac:dyDescent="0.25">
      <c r="A1" s="555" t="s">
        <v>312</v>
      </c>
      <c r="B1" s="555"/>
      <c r="C1" s="555"/>
      <c r="D1" s="555"/>
      <c r="E1" s="555"/>
      <c r="F1" s="555"/>
      <c r="G1" s="555"/>
      <c r="H1" s="555"/>
    </row>
    <row r="2" spans="1:8" s="323" customFormat="1" x14ac:dyDescent="0.25">
      <c r="A2" s="555" t="s">
        <v>313</v>
      </c>
      <c r="B2" s="555"/>
      <c r="C2" s="555"/>
      <c r="D2" s="555"/>
      <c r="E2" s="555"/>
      <c r="F2" s="555"/>
      <c r="G2" s="555"/>
      <c r="H2" s="555"/>
    </row>
    <row r="3" spans="1:8" s="326" customFormat="1" x14ac:dyDescent="0.25">
      <c r="A3" s="324"/>
      <c r="B3" s="324"/>
      <c r="C3" s="324"/>
      <c r="D3" s="324"/>
      <c r="E3" s="324"/>
      <c r="F3" s="325"/>
      <c r="G3" s="359"/>
      <c r="H3" s="359"/>
    </row>
    <row r="4" spans="1:8" s="326" customFormat="1" ht="31.5" x14ac:dyDescent="0.25">
      <c r="A4" s="327" t="s">
        <v>314</v>
      </c>
      <c r="B4" s="327" t="s">
        <v>315</v>
      </c>
      <c r="C4" s="119" t="s">
        <v>552</v>
      </c>
      <c r="D4" s="119" t="s">
        <v>556</v>
      </c>
      <c r="E4" s="275" t="s">
        <v>719</v>
      </c>
      <c r="F4" s="275" t="s">
        <v>554</v>
      </c>
      <c r="G4" s="113" t="s">
        <v>555</v>
      </c>
      <c r="H4" s="114" t="s">
        <v>553</v>
      </c>
    </row>
    <row r="5" spans="1:8" s="329" customFormat="1" x14ac:dyDescent="0.25">
      <c r="A5" s="360" t="s">
        <v>316</v>
      </c>
      <c r="B5" s="361" t="s">
        <v>317</v>
      </c>
      <c r="C5" s="328" t="e">
        <f>C7+C216+C349+C392+C411+#REF!+#REF!+#REF!+#REF!+C447+#REF!+#REF!+#REF!+C513+#REF!+C532+#REF!+C569+#REF!+#REF!+#REF!+C606+C646+C685+C728</f>
        <v>#REF!</v>
      </c>
      <c r="D5" s="328" t="e">
        <f>D7+D216+D349+D392+D411+#REF!+#REF!+#REF!+#REF!+D447+#REF!+#REF!+#REF!+D513+#REF!+D532+#REF!+D569+#REF!+#REF!+#REF!+D606+D646+D685+D728</f>
        <v>#REF!</v>
      </c>
      <c r="E5" s="328">
        <f>E7+E216+E349+E392+E411+E433+E447+E513+E562+E532+E569+E606+E646+E685+E728</f>
        <v>26784175.23</v>
      </c>
      <c r="F5" s="328">
        <f t="shared" ref="F5:H5" si="0">F7+F216+F349+F392+F411+F433+F447+F513+F562+F532+F569+F606+F646+F685+F728</f>
        <v>27155403.23</v>
      </c>
      <c r="G5" s="328">
        <f t="shared" si="0"/>
        <v>27423628.59</v>
      </c>
      <c r="H5" s="328">
        <f t="shared" si="0"/>
        <v>27667151.609999996</v>
      </c>
    </row>
    <row r="6" spans="1:8" s="326" customFormat="1" x14ac:dyDescent="0.25">
      <c r="A6" s="330" t="s">
        <v>318</v>
      </c>
      <c r="B6" s="331" t="s">
        <v>319</v>
      </c>
      <c r="C6" s="332" t="e">
        <f>C7+C216+C349+C392+C411+#REF!+#REF!+#REF!+#REF!</f>
        <v>#REF!</v>
      </c>
      <c r="D6" s="332" t="e">
        <f>D7+D216+D349+D392+D411+#REF!+#REF!+#REF!+#REF!</f>
        <v>#REF!</v>
      </c>
      <c r="E6" s="332">
        <f>E7+E216+E349+E392+E411+E433</f>
        <v>25447187.990000002</v>
      </c>
      <c r="F6" s="332">
        <f>F7+F216+F349+F392+F411+F433</f>
        <v>25447187.990000002</v>
      </c>
      <c r="G6" s="332">
        <f>G7+G216+G349+G392+G411+G433</f>
        <v>25798213.350000001</v>
      </c>
      <c r="H6" s="332">
        <f>H7+H216+H349+H392+H411+H433</f>
        <v>26141111.709999997</v>
      </c>
    </row>
    <row r="7" spans="1:8" s="336" customFormat="1" x14ac:dyDescent="0.25">
      <c r="A7" s="333">
        <v>43</v>
      </c>
      <c r="B7" s="334" t="s">
        <v>56</v>
      </c>
      <c r="C7" s="335">
        <f t="shared" ref="C7:H7" si="1">C8+C181</f>
        <v>0</v>
      </c>
      <c r="D7" s="335">
        <f t="shared" si="1"/>
        <v>0</v>
      </c>
      <c r="E7" s="335">
        <f t="shared" si="1"/>
        <v>21410157.050000001</v>
      </c>
      <c r="F7" s="335">
        <f t="shared" si="1"/>
        <v>21410157.050000001</v>
      </c>
      <c r="G7" s="335">
        <f t="shared" si="1"/>
        <v>21715388.41</v>
      </c>
      <c r="H7" s="335">
        <f t="shared" si="1"/>
        <v>22025967.890000001</v>
      </c>
    </row>
    <row r="8" spans="1:8" s="340" customFormat="1" x14ac:dyDescent="0.25">
      <c r="A8" s="337">
        <v>3</v>
      </c>
      <c r="B8" s="338" t="s">
        <v>84</v>
      </c>
      <c r="C8" s="339">
        <f t="shared" ref="C8:H8" si="2">C9+C32+C149+C162+C165+C170</f>
        <v>0</v>
      </c>
      <c r="D8" s="339">
        <f t="shared" si="2"/>
        <v>0</v>
      </c>
      <c r="E8" s="339">
        <f t="shared" si="2"/>
        <v>21324784.77</v>
      </c>
      <c r="F8" s="339">
        <f t="shared" si="2"/>
        <v>21324784.77</v>
      </c>
      <c r="G8" s="339">
        <f t="shared" si="2"/>
        <v>21627066.129999999</v>
      </c>
      <c r="H8" s="339">
        <f t="shared" si="2"/>
        <v>21934695.609999999</v>
      </c>
    </row>
    <row r="9" spans="1:8" s="326" customFormat="1" x14ac:dyDescent="0.25">
      <c r="A9" s="362">
        <v>31</v>
      </c>
      <c r="B9" s="363" t="s">
        <v>85</v>
      </c>
      <c r="C9" s="355">
        <f>C10+C19+C27</f>
        <v>0</v>
      </c>
      <c r="D9" s="355">
        <f>D10+D19+D27</f>
        <v>0</v>
      </c>
      <c r="E9" s="355">
        <f>E10+E19+E27</f>
        <v>13895551.15</v>
      </c>
      <c r="F9" s="355">
        <f>F10+F19+F27</f>
        <v>13895551.15</v>
      </c>
      <c r="G9" s="355">
        <f t="shared" ref="G9:H9" si="3">G10+G19+G27</f>
        <v>14019016.51</v>
      </c>
      <c r="H9" s="355">
        <f t="shared" si="3"/>
        <v>14142396.4</v>
      </c>
    </row>
    <row r="10" spans="1:8" s="329" customFormat="1" x14ac:dyDescent="0.25">
      <c r="A10" s="364">
        <v>311</v>
      </c>
      <c r="B10" s="365" t="s">
        <v>86</v>
      </c>
      <c r="C10" s="328">
        <f>C11+C14+C15+C17</f>
        <v>0</v>
      </c>
      <c r="D10" s="328">
        <f>D11+D14+D15+D17</f>
        <v>0</v>
      </c>
      <c r="E10" s="328">
        <f>E11+E14+E15+E17</f>
        <v>11748762.310000001</v>
      </c>
      <c r="F10" s="328">
        <f>F11+F14+F15+F17</f>
        <v>11748762.310000001</v>
      </c>
      <c r="G10" s="328">
        <f t="shared" ref="G10:H10" si="4">G11+G14+G15+G17</f>
        <v>11813800</v>
      </c>
      <c r="H10" s="328">
        <f t="shared" si="4"/>
        <v>11886800</v>
      </c>
    </row>
    <row r="11" spans="1:8" s="329" customFormat="1" x14ac:dyDescent="0.25">
      <c r="A11" s="364">
        <v>3111</v>
      </c>
      <c r="B11" s="365" t="s">
        <v>87</v>
      </c>
      <c r="C11" s="328">
        <f>SUM(C12:C13)</f>
        <v>0</v>
      </c>
      <c r="D11" s="328">
        <f>SUM(D12:D13)</f>
        <v>0</v>
      </c>
      <c r="E11" s="328">
        <f>SUM(E12:E13)</f>
        <v>11578762.310000001</v>
      </c>
      <c r="F11" s="328">
        <f>SUM(F12:F13)</f>
        <v>11578762.310000001</v>
      </c>
      <c r="G11" s="328">
        <f t="shared" ref="G11:H11" si="5">SUM(G12:G13)</f>
        <v>11636800</v>
      </c>
      <c r="H11" s="328">
        <f t="shared" si="5"/>
        <v>11702800</v>
      </c>
    </row>
    <row r="12" spans="1:8" x14ac:dyDescent="0.25">
      <c r="A12" s="366" t="s">
        <v>480</v>
      </c>
      <c r="B12" s="286" t="s">
        <v>87</v>
      </c>
      <c r="C12" s="367"/>
      <c r="D12" s="367"/>
      <c r="E12" s="367">
        <v>11576962.310000001</v>
      </c>
      <c r="F12" s="367">
        <f>3370067.31+4865000+3341895</f>
        <v>11576962.310000001</v>
      </c>
      <c r="G12" s="367">
        <v>11635000</v>
      </c>
      <c r="H12" s="367">
        <v>11701000</v>
      </c>
    </row>
    <row r="13" spans="1:8" x14ac:dyDescent="0.25">
      <c r="A13" s="366" t="s">
        <v>481</v>
      </c>
      <c r="B13" s="286" t="s">
        <v>396</v>
      </c>
      <c r="C13" s="367"/>
      <c r="D13" s="367"/>
      <c r="E13" s="367">
        <v>1800</v>
      </c>
      <c r="F13" s="367">
        <v>1800</v>
      </c>
      <c r="G13" s="367">
        <v>1800</v>
      </c>
      <c r="H13" s="367">
        <v>1800</v>
      </c>
    </row>
    <row r="14" spans="1:8" hidden="1" x14ac:dyDescent="0.25">
      <c r="A14" s="364" t="s">
        <v>88</v>
      </c>
      <c r="B14" s="365" t="s">
        <v>89</v>
      </c>
      <c r="C14" s="368"/>
      <c r="D14" s="368"/>
      <c r="E14" s="368"/>
      <c r="F14" s="368"/>
      <c r="G14" s="368"/>
      <c r="H14" s="368"/>
    </row>
    <row r="15" spans="1:8" x14ac:dyDescent="0.25">
      <c r="A15" s="364" t="s">
        <v>90</v>
      </c>
      <c r="B15" s="365" t="s">
        <v>91</v>
      </c>
      <c r="C15" s="368">
        <f>SUM(C16)</f>
        <v>0</v>
      </c>
      <c r="D15" s="368">
        <f>SUM(D16)</f>
        <v>0</v>
      </c>
      <c r="E15" s="368">
        <f>SUM(E16)</f>
        <v>170000</v>
      </c>
      <c r="F15" s="368">
        <f>SUM(F16)</f>
        <v>170000</v>
      </c>
      <c r="G15" s="368">
        <f t="shared" ref="G15:H15" si="6">SUM(G16)</f>
        <v>177000</v>
      </c>
      <c r="H15" s="368">
        <f t="shared" si="6"/>
        <v>184000</v>
      </c>
    </row>
    <row r="16" spans="1:8" x14ac:dyDescent="0.25">
      <c r="A16" s="366" t="s">
        <v>482</v>
      </c>
      <c r="B16" s="286" t="s">
        <v>91</v>
      </c>
      <c r="C16" s="367"/>
      <c r="D16" s="367"/>
      <c r="E16" s="367">
        <v>170000</v>
      </c>
      <c r="F16" s="367">
        <f>80000+90000</f>
        <v>170000</v>
      </c>
      <c r="G16" s="367">
        <v>177000</v>
      </c>
      <c r="H16" s="367">
        <v>184000</v>
      </c>
    </row>
    <row r="17" spans="1:8" hidden="1" x14ac:dyDescent="0.25">
      <c r="A17" s="364" t="s">
        <v>92</v>
      </c>
      <c r="B17" s="365" t="s">
        <v>208</v>
      </c>
      <c r="C17" s="368">
        <f>SUM(C18)</f>
        <v>0</v>
      </c>
      <c r="D17" s="368">
        <f>SUM(D18)</f>
        <v>0</v>
      </c>
      <c r="E17" s="368"/>
      <c r="F17" s="368">
        <f>SUM(F18)</f>
        <v>0</v>
      </c>
      <c r="G17" s="368">
        <f t="shared" ref="G17:H17" si="7">SUM(G18)</f>
        <v>0</v>
      </c>
      <c r="H17" s="368">
        <f t="shared" si="7"/>
        <v>0</v>
      </c>
    </row>
    <row r="18" spans="1:8" hidden="1" x14ac:dyDescent="0.25">
      <c r="A18" s="366" t="s">
        <v>483</v>
      </c>
      <c r="B18" s="286" t="s">
        <v>208</v>
      </c>
      <c r="C18" s="367"/>
      <c r="D18" s="367">
        <v>0</v>
      </c>
      <c r="E18" s="367"/>
      <c r="F18" s="367">
        <v>0</v>
      </c>
      <c r="G18" s="367">
        <v>0</v>
      </c>
      <c r="H18" s="367">
        <v>0</v>
      </c>
    </row>
    <row r="19" spans="1:8" x14ac:dyDescent="0.25">
      <c r="A19" s="364" t="s">
        <v>94</v>
      </c>
      <c r="B19" s="365" t="s">
        <v>95</v>
      </c>
      <c r="C19" s="328">
        <f>C20</f>
        <v>0</v>
      </c>
      <c r="D19" s="328">
        <f>D20</f>
        <v>0</v>
      </c>
      <c r="E19" s="328">
        <f>E20</f>
        <v>350300</v>
      </c>
      <c r="F19" s="328">
        <f>F20</f>
        <v>350300</v>
      </c>
      <c r="G19" s="328">
        <f t="shared" ref="G19:H19" si="8">G20</f>
        <v>365500</v>
      </c>
      <c r="H19" s="328">
        <f t="shared" si="8"/>
        <v>380700</v>
      </c>
    </row>
    <row r="20" spans="1:8" x14ac:dyDescent="0.25">
      <c r="A20" s="364" t="s">
        <v>96</v>
      </c>
      <c r="B20" s="365" t="s">
        <v>95</v>
      </c>
      <c r="C20" s="328">
        <f>SUM(C21:C26)</f>
        <v>0</v>
      </c>
      <c r="D20" s="328">
        <f>SUM(D21:D26)</f>
        <v>0</v>
      </c>
      <c r="E20" s="328">
        <f>SUM(E21:E26)</f>
        <v>350300</v>
      </c>
      <c r="F20" s="328">
        <f>SUM(F21:F26)</f>
        <v>350300</v>
      </c>
      <c r="G20" s="328">
        <f t="shared" ref="G20:H20" si="9">SUM(G21:G26)</f>
        <v>365500</v>
      </c>
      <c r="H20" s="328">
        <f t="shared" si="9"/>
        <v>380700</v>
      </c>
    </row>
    <row r="21" spans="1:8" x14ac:dyDescent="0.25">
      <c r="A21" s="366" t="s">
        <v>484</v>
      </c>
      <c r="B21" s="286" t="s">
        <v>398</v>
      </c>
      <c r="C21" s="351"/>
      <c r="D21" s="351"/>
      <c r="E21" s="351">
        <v>124500</v>
      </c>
      <c r="F21" s="351">
        <f>28000+96500</f>
        <v>124500</v>
      </c>
      <c r="G21" s="351">
        <v>128000</v>
      </c>
      <c r="H21" s="351">
        <v>131500</v>
      </c>
    </row>
    <row r="22" spans="1:8" x14ac:dyDescent="0.25">
      <c r="A22" s="366" t="s">
        <v>485</v>
      </c>
      <c r="B22" s="286" t="s">
        <v>400</v>
      </c>
      <c r="C22" s="351"/>
      <c r="D22" s="351"/>
      <c r="E22" s="351">
        <v>26000</v>
      </c>
      <c r="F22" s="351">
        <v>26000</v>
      </c>
      <c r="G22" s="351">
        <v>28000</v>
      </c>
      <c r="H22" s="351">
        <v>30000</v>
      </c>
    </row>
    <row r="23" spans="1:8" x14ac:dyDescent="0.25">
      <c r="A23" s="366" t="s">
        <v>486</v>
      </c>
      <c r="B23" s="286" t="s">
        <v>399</v>
      </c>
      <c r="C23" s="351"/>
      <c r="D23" s="351"/>
      <c r="E23" s="351">
        <v>27000</v>
      </c>
      <c r="F23" s="351">
        <f>25000+2000</f>
        <v>27000</v>
      </c>
      <c r="G23" s="351">
        <v>28500</v>
      </c>
      <c r="H23" s="351">
        <v>30000</v>
      </c>
    </row>
    <row r="24" spans="1:8" x14ac:dyDescent="0.25">
      <c r="A24" s="366" t="s">
        <v>487</v>
      </c>
      <c r="B24" s="286" t="s">
        <v>401</v>
      </c>
      <c r="C24" s="351"/>
      <c r="D24" s="351"/>
      <c r="E24" s="351">
        <v>13800</v>
      </c>
      <c r="F24" s="351">
        <f>10000+3800</f>
        <v>13800</v>
      </c>
      <c r="G24" s="351">
        <v>15000</v>
      </c>
      <c r="H24" s="351">
        <v>16200</v>
      </c>
    </row>
    <row r="25" spans="1:8" x14ac:dyDescent="0.25">
      <c r="A25" s="366" t="s">
        <v>488</v>
      </c>
      <c r="B25" s="286" t="s">
        <v>402</v>
      </c>
      <c r="C25" s="351"/>
      <c r="D25" s="351"/>
      <c r="E25" s="351">
        <v>92000</v>
      </c>
      <c r="F25" s="351">
        <f>57000+35000</f>
        <v>92000</v>
      </c>
      <c r="G25" s="351">
        <v>95000</v>
      </c>
      <c r="H25" s="351">
        <v>98000</v>
      </c>
    </row>
    <row r="26" spans="1:8" s="342" customFormat="1" x14ac:dyDescent="0.25">
      <c r="A26" s="366" t="s">
        <v>489</v>
      </c>
      <c r="B26" s="286" t="s">
        <v>397</v>
      </c>
      <c r="C26" s="367"/>
      <c r="D26" s="367"/>
      <c r="E26" s="367">
        <v>67000</v>
      </c>
      <c r="F26" s="367">
        <f>32000+35000</f>
        <v>67000</v>
      </c>
      <c r="G26" s="367">
        <v>71000</v>
      </c>
      <c r="H26" s="367">
        <v>75000</v>
      </c>
    </row>
    <row r="27" spans="1:8" s="329" customFormat="1" x14ac:dyDescent="0.25">
      <c r="A27" s="369">
        <v>313</v>
      </c>
      <c r="B27" s="365" t="s">
        <v>97</v>
      </c>
      <c r="C27" s="328">
        <f>C28+C30</f>
        <v>0</v>
      </c>
      <c r="D27" s="328">
        <f>D28+D30</f>
        <v>0</v>
      </c>
      <c r="E27" s="328">
        <f>E28+E30</f>
        <v>1796488.8399999999</v>
      </c>
      <c r="F27" s="328">
        <f>F28+F30</f>
        <v>1796488.8399999999</v>
      </c>
      <c r="G27" s="328">
        <f t="shared" ref="G27:H27" si="10">G28+G30</f>
        <v>1839716.51</v>
      </c>
      <c r="H27" s="328">
        <f t="shared" si="10"/>
        <v>1874896.4</v>
      </c>
    </row>
    <row r="28" spans="1:8" s="329" customFormat="1" x14ac:dyDescent="0.25">
      <c r="A28" s="369">
        <v>3132</v>
      </c>
      <c r="B28" s="365" t="s">
        <v>98</v>
      </c>
      <c r="C28" s="328">
        <f>SUM(C29)</f>
        <v>0</v>
      </c>
      <c r="D28" s="328">
        <f>SUM(D29)</f>
        <v>0</v>
      </c>
      <c r="E28" s="328">
        <f>SUM(E29)</f>
        <v>1796488.8399999999</v>
      </c>
      <c r="F28" s="328">
        <f>SUM(F29)</f>
        <v>1796488.8399999999</v>
      </c>
      <c r="G28" s="328">
        <f t="shared" ref="G28:H28" si="11">SUM(G29)</f>
        <v>1839716.51</v>
      </c>
      <c r="H28" s="328">
        <f t="shared" si="11"/>
        <v>1874896.4</v>
      </c>
    </row>
    <row r="29" spans="1:8" x14ac:dyDescent="0.25">
      <c r="A29" s="370" t="s">
        <v>490</v>
      </c>
      <c r="B29" s="286" t="s">
        <v>98</v>
      </c>
      <c r="C29" s="367"/>
      <c r="D29" s="367"/>
      <c r="E29" s="367">
        <v>1796488.8399999999</v>
      </c>
      <c r="F29" s="367">
        <f>760000+536488.84+500000</f>
        <v>1796488.8399999999</v>
      </c>
      <c r="G29" s="367">
        <v>1839716.51</v>
      </c>
      <c r="H29" s="367">
        <v>1874896.4</v>
      </c>
    </row>
    <row r="30" spans="1:8" hidden="1" x14ac:dyDescent="0.25">
      <c r="A30" s="369" t="s">
        <v>320</v>
      </c>
      <c r="B30" s="365" t="s">
        <v>559</v>
      </c>
      <c r="C30" s="328">
        <f>C31</f>
        <v>0</v>
      </c>
      <c r="D30" s="328">
        <f>D31</f>
        <v>0</v>
      </c>
      <c r="E30" s="328"/>
      <c r="F30" s="328">
        <f>F31</f>
        <v>0</v>
      </c>
      <c r="G30" s="328">
        <f>G31</f>
        <v>0</v>
      </c>
      <c r="H30" s="328">
        <f>H31</f>
        <v>0</v>
      </c>
    </row>
    <row r="31" spans="1:8" hidden="1" x14ac:dyDescent="0.25">
      <c r="A31" s="370" t="s">
        <v>558</v>
      </c>
      <c r="B31" s="286" t="s">
        <v>560</v>
      </c>
      <c r="C31" s="351"/>
      <c r="D31" s="351">
        <v>0</v>
      </c>
      <c r="E31" s="351"/>
      <c r="F31" s="351"/>
      <c r="G31" s="351"/>
      <c r="H31" s="351"/>
    </row>
    <row r="32" spans="1:8" x14ac:dyDescent="0.25">
      <c r="A32" s="362">
        <v>32</v>
      </c>
      <c r="B32" s="363" t="s">
        <v>99</v>
      </c>
      <c r="C32" s="355">
        <f t="shared" ref="C32:H32" si="12">C33+C46+C75+C117+C120+C128</f>
        <v>0</v>
      </c>
      <c r="D32" s="355">
        <f t="shared" si="12"/>
        <v>0</v>
      </c>
      <c r="E32" s="355">
        <f t="shared" si="12"/>
        <v>7400658.6200000001</v>
      </c>
      <c r="F32" s="355">
        <f t="shared" si="12"/>
        <v>7400658.6200000001</v>
      </c>
      <c r="G32" s="355">
        <f t="shared" si="12"/>
        <v>7581279.6200000001</v>
      </c>
      <c r="H32" s="355">
        <f t="shared" si="12"/>
        <v>7765234.21</v>
      </c>
    </row>
    <row r="33" spans="1:8" s="329" customFormat="1" x14ac:dyDescent="0.25">
      <c r="A33" s="364">
        <v>321</v>
      </c>
      <c r="B33" s="365" t="s">
        <v>100</v>
      </c>
      <c r="C33" s="328">
        <f>C34+C39+C41+C44</f>
        <v>0</v>
      </c>
      <c r="D33" s="328">
        <f>D34+D39+D41+D44</f>
        <v>0</v>
      </c>
      <c r="E33" s="328">
        <f>E34+E39+E41+E44</f>
        <v>250944.29</v>
      </c>
      <c r="F33" s="328">
        <f>F34+F39+F41+F44</f>
        <v>250944.29</v>
      </c>
      <c r="G33" s="328">
        <f t="shared" ref="G33:H33" si="13">G34+G39+G41+G44</f>
        <v>257170</v>
      </c>
      <c r="H33" s="328">
        <f t="shared" si="13"/>
        <v>264360</v>
      </c>
    </row>
    <row r="34" spans="1:8" s="329" customFormat="1" x14ac:dyDescent="0.25">
      <c r="A34" s="364" t="s">
        <v>101</v>
      </c>
      <c r="B34" s="365" t="s">
        <v>102</v>
      </c>
      <c r="C34" s="328">
        <f>SUM(C35:C38)</f>
        <v>0</v>
      </c>
      <c r="D34" s="328">
        <f>SUM(D35:D38)</f>
        <v>0</v>
      </c>
      <c r="E34" s="328">
        <f>SUM(E35:E38)</f>
        <v>6380</v>
      </c>
      <c r="F34" s="328">
        <f>SUM(F35:F38)</f>
        <v>6380</v>
      </c>
      <c r="G34" s="328">
        <f t="shared" ref="G34:H34" si="14">SUM(G35:G38)</f>
        <v>6920</v>
      </c>
      <c r="H34" s="328">
        <f t="shared" si="14"/>
        <v>7460</v>
      </c>
    </row>
    <row r="35" spans="1:8" s="329" customFormat="1" x14ac:dyDescent="0.25">
      <c r="A35" s="366">
        <v>32111</v>
      </c>
      <c r="B35" s="286" t="s">
        <v>403</v>
      </c>
      <c r="C35" s="351"/>
      <c r="D35" s="351"/>
      <c r="E35" s="351">
        <v>3600</v>
      </c>
      <c r="F35" s="351">
        <f>3000+600</f>
        <v>3600</v>
      </c>
      <c r="G35" s="351">
        <v>3800</v>
      </c>
      <c r="H35" s="351">
        <v>4000</v>
      </c>
    </row>
    <row r="36" spans="1:8" s="329" customFormat="1" x14ac:dyDescent="0.25">
      <c r="A36" s="366">
        <v>32113</v>
      </c>
      <c r="B36" s="286" t="s">
        <v>405</v>
      </c>
      <c r="C36" s="351"/>
      <c r="D36" s="351"/>
      <c r="E36" s="351">
        <v>1500</v>
      </c>
      <c r="F36" s="351">
        <f>500+1000</f>
        <v>1500</v>
      </c>
      <c r="G36" s="351">
        <v>1700</v>
      </c>
      <c r="H36" s="351">
        <v>1900</v>
      </c>
    </row>
    <row r="37" spans="1:8" x14ac:dyDescent="0.25">
      <c r="A37" s="366">
        <v>32115</v>
      </c>
      <c r="B37" s="286" t="s">
        <v>406</v>
      </c>
      <c r="C37" s="367"/>
      <c r="D37" s="367"/>
      <c r="E37" s="367">
        <v>1200</v>
      </c>
      <c r="F37" s="367">
        <f>500+700</f>
        <v>1200</v>
      </c>
      <c r="G37" s="367">
        <v>1300</v>
      </c>
      <c r="H37" s="367">
        <v>1400</v>
      </c>
    </row>
    <row r="38" spans="1:8" x14ac:dyDescent="0.25">
      <c r="A38" s="366" t="s">
        <v>587</v>
      </c>
      <c r="B38" s="286" t="s">
        <v>588</v>
      </c>
      <c r="C38" s="367"/>
      <c r="D38" s="367"/>
      <c r="E38" s="367">
        <v>80</v>
      </c>
      <c r="F38" s="367">
        <v>80</v>
      </c>
      <c r="G38" s="367">
        <v>120</v>
      </c>
      <c r="H38" s="367">
        <v>160</v>
      </c>
    </row>
    <row r="39" spans="1:8" x14ac:dyDescent="0.25">
      <c r="A39" s="364" t="s">
        <v>103</v>
      </c>
      <c r="B39" s="288" t="s">
        <v>104</v>
      </c>
      <c r="C39" s="368">
        <f>SUM(C40)</f>
        <v>0</v>
      </c>
      <c r="D39" s="368">
        <f>SUM(D40)</f>
        <v>0</v>
      </c>
      <c r="E39" s="368">
        <f>SUM(E40)</f>
        <v>234716.27000000002</v>
      </c>
      <c r="F39" s="368">
        <f>SUM(F40)</f>
        <v>234716.27000000002</v>
      </c>
      <c r="G39" s="368">
        <f t="shared" ref="G39:H39" si="15">SUM(G40)</f>
        <v>240000</v>
      </c>
      <c r="H39" s="368">
        <f t="shared" si="15"/>
        <v>246000</v>
      </c>
    </row>
    <row r="40" spans="1:8" s="342" customFormat="1" x14ac:dyDescent="0.25">
      <c r="A40" s="366" t="s">
        <v>491</v>
      </c>
      <c r="B40" s="287" t="s">
        <v>104</v>
      </c>
      <c r="C40" s="367"/>
      <c r="D40" s="367"/>
      <c r="E40" s="367">
        <v>234716.27000000002</v>
      </c>
      <c r="F40" s="367">
        <f>74716.27+160000</f>
        <v>234716.27000000002</v>
      </c>
      <c r="G40" s="367">
        <v>240000</v>
      </c>
      <c r="H40" s="367">
        <v>246000</v>
      </c>
    </row>
    <row r="41" spans="1:8" s="342" customFormat="1" x14ac:dyDescent="0.25">
      <c r="A41" s="364" t="s">
        <v>105</v>
      </c>
      <c r="B41" s="288" t="s">
        <v>106</v>
      </c>
      <c r="C41" s="368">
        <f>SUM(C42:C43)</f>
        <v>0</v>
      </c>
      <c r="D41" s="368">
        <f>SUM(D42:D43)</f>
        <v>0</v>
      </c>
      <c r="E41" s="368">
        <f>SUM(E42:E43)</f>
        <v>9648.02</v>
      </c>
      <c r="F41" s="368">
        <f>SUM(F42:F43)</f>
        <v>9648.02</v>
      </c>
      <c r="G41" s="368">
        <f t="shared" ref="G41:H41" si="16">SUM(G42:G43)</f>
        <v>10050</v>
      </c>
      <c r="H41" s="368">
        <f t="shared" si="16"/>
        <v>10700</v>
      </c>
    </row>
    <row r="42" spans="1:8" s="342" customFormat="1" x14ac:dyDescent="0.25">
      <c r="A42" s="366">
        <v>32131</v>
      </c>
      <c r="B42" s="287" t="s">
        <v>407</v>
      </c>
      <c r="C42" s="367"/>
      <c r="D42" s="367"/>
      <c r="E42" s="367">
        <v>6570</v>
      </c>
      <c r="F42" s="367">
        <f>5470+1100</f>
        <v>6570</v>
      </c>
      <c r="G42" s="367">
        <v>6750</v>
      </c>
      <c r="H42" s="367">
        <v>7000</v>
      </c>
    </row>
    <row r="43" spans="1:8" x14ac:dyDescent="0.25">
      <c r="A43" s="366">
        <v>32132</v>
      </c>
      <c r="B43" s="287" t="s">
        <v>408</v>
      </c>
      <c r="C43" s="367"/>
      <c r="D43" s="367"/>
      <c r="E43" s="367">
        <v>3078.02</v>
      </c>
      <c r="F43" s="367">
        <f>500+2578.02</f>
        <v>3078.02</v>
      </c>
      <c r="G43" s="367">
        <v>3300</v>
      </c>
      <c r="H43" s="367">
        <v>3700</v>
      </c>
    </row>
    <row r="44" spans="1:8" x14ac:dyDescent="0.25">
      <c r="A44" s="364" t="s">
        <v>107</v>
      </c>
      <c r="B44" s="288" t="s">
        <v>108</v>
      </c>
      <c r="C44" s="368">
        <f>SUM(C45)</f>
        <v>0</v>
      </c>
      <c r="D44" s="368">
        <f>SUM(D45)</f>
        <v>0</v>
      </c>
      <c r="E44" s="368">
        <f>SUM(E45)</f>
        <v>200</v>
      </c>
      <c r="F44" s="368">
        <f>SUM(F45)</f>
        <v>200</v>
      </c>
      <c r="G44" s="368">
        <f t="shared" ref="G44:H44" si="17">SUM(G45)</f>
        <v>200</v>
      </c>
      <c r="H44" s="368">
        <f t="shared" si="17"/>
        <v>200</v>
      </c>
    </row>
    <row r="45" spans="1:8" x14ac:dyDescent="0.25">
      <c r="A45" s="366" t="s">
        <v>492</v>
      </c>
      <c r="B45" s="287" t="s">
        <v>409</v>
      </c>
      <c r="C45" s="367"/>
      <c r="D45" s="367"/>
      <c r="E45" s="367">
        <v>200</v>
      </c>
      <c r="F45" s="367">
        <v>200</v>
      </c>
      <c r="G45" s="367">
        <v>200</v>
      </c>
      <c r="H45" s="367">
        <v>200</v>
      </c>
    </row>
    <row r="46" spans="1:8" x14ac:dyDescent="0.25">
      <c r="A46" s="364" t="s">
        <v>109</v>
      </c>
      <c r="B46" s="288" t="s">
        <v>110</v>
      </c>
      <c r="C46" s="328">
        <f>C47+C54+C60+C65+C70+C73</f>
        <v>0</v>
      </c>
      <c r="D46" s="328">
        <f>D47+D54+D60+D65+D70+D73</f>
        <v>0</v>
      </c>
      <c r="E46" s="328">
        <f>E47+E54+E60+E65+E70+E73</f>
        <v>3285505</v>
      </c>
      <c r="F46" s="328">
        <f>F47+F54+F60+F65+F70+F73</f>
        <v>3285505</v>
      </c>
      <c r="G46" s="328">
        <f t="shared" ref="G46:H46" si="18">G47+G54+G60+G65+G70+G73</f>
        <v>3334240.29</v>
      </c>
      <c r="H46" s="328">
        <f t="shared" si="18"/>
        <v>3381444.88</v>
      </c>
    </row>
    <row r="47" spans="1:8" x14ac:dyDescent="0.25">
      <c r="A47" s="364" t="s">
        <v>111</v>
      </c>
      <c r="B47" s="365" t="s">
        <v>112</v>
      </c>
      <c r="C47" s="433">
        <f>SUM(C48:C53)</f>
        <v>0</v>
      </c>
      <c r="D47" s="328">
        <f>SUM(D48:D53)</f>
        <v>0</v>
      </c>
      <c r="E47" s="328">
        <f>SUM(E48:E53)</f>
        <v>128000</v>
      </c>
      <c r="F47" s="328">
        <f>SUM(F48:F53)</f>
        <v>128000</v>
      </c>
      <c r="G47" s="328">
        <f t="shared" ref="G47:H47" si="19">SUM(G48:G53)</f>
        <v>136650</v>
      </c>
      <c r="H47" s="328">
        <f t="shared" si="19"/>
        <v>146300</v>
      </c>
    </row>
    <row r="48" spans="1:8" x14ac:dyDescent="0.25">
      <c r="A48" s="366">
        <v>32211</v>
      </c>
      <c r="B48" s="286" t="s">
        <v>410</v>
      </c>
      <c r="C48" s="434"/>
      <c r="D48" s="351"/>
      <c r="E48" s="351">
        <v>41000</v>
      </c>
      <c r="F48" s="351">
        <f>12000+15000+14000</f>
        <v>41000</v>
      </c>
      <c r="G48" s="351">
        <v>44500</v>
      </c>
      <c r="H48" s="351">
        <v>48900</v>
      </c>
    </row>
    <row r="49" spans="1:8" x14ac:dyDescent="0.25">
      <c r="A49" s="366">
        <v>32212</v>
      </c>
      <c r="B49" s="287" t="s">
        <v>411</v>
      </c>
      <c r="C49" s="434"/>
      <c r="D49" s="351"/>
      <c r="E49" s="351">
        <v>1500</v>
      </c>
      <c r="F49" s="351">
        <f>300+700+500</f>
        <v>1500</v>
      </c>
      <c r="G49" s="351">
        <v>1650</v>
      </c>
      <c r="H49" s="351">
        <v>1800</v>
      </c>
    </row>
    <row r="50" spans="1:8" x14ac:dyDescent="0.25">
      <c r="A50" s="366">
        <v>32214</v>
      </c>
      <c r="B50" s="287" t="s">
        <v>412</v>
      </c>
      <c r="C50" s="434"/>
      <c r="D50" s="351"/>
      <c r="E50" s="351">
        <v>58500</v>
      </c>
      <c r="F50" s="351">
        <f>13500+15000+30000</f>
        <v>58500</v>
      </c>
      <c r="G50" s="351">
        <v>61000</v>
      </c>
      <c r="H50" s="351">
        <v>63500</v>
      </c>
    </row>
    <row r="51" spans="1:8" x14ac:dyDescent="0.25">
      <c r="A51" s="366">
        <v>32215</v>
      </c>
      <c r="B51" s="287" t="s">
        <v>413</v>
      </c>
      <c r="C51" s="434"/>
      <c r="D51" s="351"/>
      <c r="E51" s="351">
        <v>500</v>
      </c>
      <c r="F51" s="351">
        <v>500</v>
      </c>
      <c r="G51" s="351">
        <v>700</v>
      </c>
      <c r="H51" s="351">
        <v>900</v>
      </c>
    </row>
    <row r="52" spans="1:8" x14ac:dyDescent="0.25">
      <c r="A52" s="366" t="s">
        <v>589</v>
      </c>
      <c r="B52" s="287" t="s">
        <v>590</v>
      </c>
      <c r="C52" s="434">
        <v>0</v>
      </c>
      <c r="D52" s="351">
        <v>0</v>
      </c>
      <c r="E52" s="351">
        <v>25000</v>
      </c>
      <c r="F52" s="351">
        <v>25000</v>
      </c>
      <c r="G52" s="351">
        <v>27000</v>
      </c>
      <c r="H52" s="351">
        <v>29000</v>
      </c>
    </row>
    <row r="53" spans="1:8" s="342" customFormat="1" x14ac:dyDescent="0.25">
      <c r="A53" s="366">
        <v>32219</v>
      </c>
      <c r="B53" s="286" t="s">
        <v>414</v>
      </c>
      <c r="C53" s="367"/>
      <c r="D53" s="367"/>
      <c r="E53" s="367">
        <v>1500</v>
      </c>
      <c r="F53" s="367">
        <v>1500</v>
      </c>
      <c r="G53" s="367">
        <v>1800</v>
      </c>
      <c r="H53" s="367">
        <v>2200</v>
      </c>
    </row>
    <row r="54" spans="1:8" s="342" customFormat="1" x14ac:dyDescent="0.25">
      <c r="A54" s="364" t="s">
        <v>113</v>
      </c>
      <c r="B54" s="365" t="s">
        <v>114</v>
      </c>
      <c r="C54" s="368">
        <f>SUM(C55:C59)</f>
        <v>0</v>
      </c>
      <c r="D54" s="368">
        <f>SUM(D55:D59)</f>
        <v>0</v>
      </c>
      <c r="E54" s="368">
        <f>SUM(E55:E59)</f>
        <v>2806455</v>
      </c>
      <c r="F54" s="368">
        <f>SUM(F55:F59)</f>
        <v>2806455</v>
      </c>
      <c r="G54" s="368">
        <f t="shared" ref="G54:H54" si="20">SUM(G55:G59)</f>
        <v>2832990.29</v>
      </c>
      <c r="H54" s="368">
        <f t="shared" si="20"/>
        <v>2856994.88</v>
      </c>
    </row>
    <row r="55" spans="1:8" s="342" customFormat="1" hidden="1" x14ac:dyDescent="0.25">
      <c r="A55" s="366" t="s">
        <v>493</v>
      </c>
      <c r="B55" s="286" t="s">
        <v>415</v>
      </c>
      <c r="C55" s="367"/>
      <c r="D55" s="367"/>
      <c r="E55" s="367"/>
      <c r="F55" s="367">
        <v>0</v>
      </c>
      <c r="G55" s="367">
        <v>0</v>
      </c>
      <c r="H55" s="367">
        <v>0</v>
      </c>
    </row>
    <row r="56" spans="1:8" s="342" customFormat="1" x14ac:dyDescent="0.25">
      <c r="A56" s="366" t="s">
        <v>591</v>
      </c>
      <c r="B56" s="286" t="s">
        <v>593</v>
      </c>
      <c r="C56" s="367"/>
      <c r="D56" s="367"/>
      <c r="E56" s="367">
        <v>12000</v>
      </c>
      <c r="F56" s="367">
        <v>12000</v>
      </c>
      <c r="G56" s="367">
        <v>13000</v>
      </c>
      <c r="H56" s="367">
        <v>14000</v>
      </c>
    </row>
    <row r="57" spans="1:8" s="342" customFormat="1" x14ac:dyDescent="0.25">
      <c r="A57" s="366" t="s">
        <v>592</v>
      </c>
      <c r="B57" s="286" t="s">
        <v>594</v>
      </c>
      <c r="C57" s="367"/>
      <c r="D57" s="367"/>
      <c r="E57" s="367">
        <v>2794455</v>
      </c>
      <c r="F57" s="367">
        <v>2794455</v>
      </c>
      <c r="G57" s="367">
        <v>2819990.29</v>
      </c>
      <c r="H57" s="367">
        <v>2842994.88</v>
      </c>
    </row>
    <row r="58" spans="1:8" s="342" customFormat="1" hidden="1" x14ac:dyDescent="0.25">
      <c r="A58" s="366" t="s">
        <v>494</v>
      </c>
      <c r="B58" s="286" t="s">
        <v>416</v>
      </c>
      <c r="C58" s="367"/>
      <c r="D58" s="367"/>
      <c r="E58" s="367"/>
      <c r="F58" s="367">
        <v>0</v>
      </c>
      <c r="G58" s="367">
        <v>0</v>
      </c>
      <c r="H58" s="367">
        <v>0</v>
      </c>
    </row>
    <row r="59" spans="1:8" hidden="1" x14ac:dyDescent="0.25">
      <c r="A59" s="366" t="s">
        <v>495</v>
      </c>
      <c r="B59" s="286" t="s">
        <v>417</v>
      </c>
      <c r="C59" s="367"/>
      <c r="D59" s="367"/>
      <c r="E59" s="367"/>
      <c r="F59" s="367">
        <v>0</v>
      </c>
      <c r="G59" s="367">
        <v>0</v>
      </c>
      <c r="H59" s="367">
        <v>0</v>
      </c>
    </row>
    <row r="60" spans="1:8" x14ac:dyDescent="0.25">
      <c r="A60" s="364" t="s">
        <v>115</v>
      </c>
      <c r="B60" s="365" t="s">
        <v>116</v>
      </c>
      <c r="C60" s="368">
        <f>SUM(C61:C64)</f>
        <v>0</v>
      </c>
      <c r="D60" s="368">
        <f>SUM(D61:D64)</f>
        <v>0</v>
      </c>
      <c r="E60" s="368">
        <f>SUM(E61:E64)</f>
        <v>321000</v>
      </c>
      <c r="F60" s="368">
        <f>SUM(F61:F64)</f>
        <v>321000</v>
      </c>
      <c r="G60" s="368">
        <f t="shared" ref="G60:H60" si="21">SUM(G61:G64)</f>
        <v>329300</v>
      </c>
      <c r="H60" s="368">
        <f t="shared" si="21"/>
        <v>337600</v>
      </c>
    </row>
    <row r="61" spans="1:8" x14ac:dyDescent="0.25">
      <c r="A61" s="366" t="s">
        <v>496</v>
      </c>
      <c r="B61" s="286" t="s">
        <v>419</v>
      </c>
      <c r="C61" s="367"/>
      <c r="D61" s="367"/>
      <c r="E61" s="367">
        <v>142000</v>
      </c>
      <c r="F61" s="367">
        <f>27000+55000+60000</f>
        <v>142000</v>
      </c>
      <c r="G61" s="367">
        <v>144000</v>
      </c>
      <c r="H61" s="367">
        <v>146000</v>
      </c>
    </row>
    <row r="62" spans="1:8" x14ac:dyDescent="0.25">
      <c r="A62" s="366" t="s">
        <v>497</v>
      </c>
      <c r="B62" s="286" t="s">
        <v>420</v>
      </c>
      <c r="C62" s="367"/>
      <c r="D62" s="367"/>
      <c r="E62" s="367">
        <v>2200</v>
      </c>
      <c r="F62" s="367">
        <v>2200</v>
      </c>
      <c r="G62" s="367">
        <v>2500</v>
      </c>
      <c r="H62" s="367">
        <v>2800</v>
      </c>
    </row>
    <row r="63" spans="1:8" x14ac:dyDescent="0.25">
      <c r="A63" s="366" t="s">
        <v>498</v>
      </c>
      <c r="B63" s="286" t="s">
        <v>421</v>
      </c>
      <c r="C63" s="367"/>
      <c r="D63" s="367"/>
      <c r="E63" s="367">
        <v>135000</v>
      </c>
      <c r="F63" s="367">
        <f>20000+65000+50000</f>
        <v>135000</v>
      </c>
      <c r="G63" s="367">
        <v>140000</v>
      </c>
      <c r="H63" s="367">
        <v>145000</v>
      </c>
    </row>
    <row r="64" spans="1:8" x14ac:dyDescent="0.25">
      <c r="A64" s="366" t="s">
        <v>499</v>
      </c>
      <c r="B64" s="286" t="s">
        <v>418</v>
      </c>
      <c r="C64" s="367"/>
      <c r="D64" s="367"/>
      <c r="E64" s="367">
        <v>41800</v>
      </c>
      <c r="F64" s="367">
        <f>17000+9800+15000</f>
        <v>41800</v>
      </c>
      <c r="G64" s="367">
        <v>42800</v>
      </c>
      <c r="H64" s="367">
        <v>43800</v>
      </c>
    </row>
    <row r="65" spans="1:8" x14ac:dyDescent="0.25">
      <c r="A65" s="364" t="s">
        <v>117</v>
      </c>
      <c r="B65" s="288" t="s">
        <v>118</v>
      </c>
      <c r="C65" s="368">
        <f>SUM(C66:C69)</f>
        <v>0</v>
      </c>
      <c r="D65" s="368">
        <f>SUM(D66:D69)</f>
        <v>0</v>
      </c>
      <c r="E65" s="368">
        <f>SUM(E66:E69)</f>
        <v>15050</v>
      </c>
      <c r="F65" s="368">
        <f>SUM(F66:F69)</f>
        <v>15050</v>
      </c>
      <c r="G65" s="368">
        <f t="shared" ref="G65:H65" si="22">SUM(G66:G69)</f>
        <v>16800</v>
      </c>
      <c r="H65" s="368">
        <f t="shared" si="22"/>
        <v>18550</v>
      </c>
    </row>
    <row r="66" spans="1:8" x14ac:dyDescent="0.25">
      <c r="A66" s="366">
        <v>32241</v>
      </c>
      <c r="B66" s="286" t="s">
        <v>422</v>
      </c>
      <c r="C66" s="367"/>
      <c r="D66" s="367"/>
      <c r="E66" s="367">
        <v>2500</v>
      </c>
      <c r="F66" s="367">
        <v>2500</v>
      </c>
      <c r="G66" s="367">
        <v>3000</v>
      </c>
      <c r="H66" s="367">
        <v>3500</v>
      </c>
    </row>
    <row r="67" spans="1:8" x14ac:dyDescent="0.25">
      <c r="A67" s="366">
        <v>32242</v>
      </c>
      <c r="B67" s="286" t="s">
        <v>424</v>
      </c>
      <c r="C67" s="367"/>
      <c r="D67" s="367"/>
      <c r="E67" s="367">
        <v>2750</v>
      </c>
      <c r="F67" s="367">
        <v>2750</v>
      </c>
      <c r="G67" s="367">
        <v>3000</v>
      </c>
      <c r="H67" s="367">
        <v>3250</v>
      </c>
    </row>
    <row r="68" spans="1:8" x14ac:dyDescent="0.25">
      <c r="A68" s="366">
        <v>32243</v>
      </c>
      <c r="B68" s="286" t="s">
        <v>423</v>
      </c>
      <c r="C68" s="367"/>
      <c r="D68" s="367"/>
      <c r="E68" s="367">
        <v>6500</v>
      </c>
      <c r="F68" s="367">
        <f>6000+500</f>
        <v>6500</v>
      </c>
      <c r="G68" s="367">
        <v>7000</v>
      </c>
      <c r="H68" s="367">
        <v>7500</v>
      </c>
    </row>
    <row r="69" spans="1:8" x14ac:dyDescent="0.25">
      <c r="A69" s="366">
        <v>32244</v>
      </c>
      <c r="B69" s="287" t="s">
        <v>425</v>
      </c>
      <c r="C69" s="367"/>
      <c r="D69" s="367"/>
      <c r="E69" s="367">
        <v>3300</v>
      </c>
      <c r="F69" s="367">
        <f>3000+300</f>
        <v>3300</v>
      </c>
      <c r="G69" s="367">
        <v>3800</v>
      </c>
      <c r="H69" s="367">
        <v>4300</v>
      </c>
    </row>
    <row r="70" spans="1:8" x14ac:dyDescent="0.25">
      <c r="A70" s="364" t="s">
        <v>119</v>
      </c>
      <c r="B70" s="288" t="s">
        <v>120</v>
      </c>
      <c r="C70" s="368">
        <f>SUM(C71:C72)</f>
        <v>0</v>
      </c>
      <c r="D70" s="368">
        <f>SUM(D71:D72)</f>
        <v>0</v>
      </c>
      <c r="E70" s="368">
        <f>SUM(E71:E72)</f>
        <v>9500</v>
      </c>
      <c r="F70" s="368">
        <f>SUM(F71:F72)</f>
        <v>9500</v>
      </c>
      <c r="G70" s="368">
        <f t="shared" ref="G70:H70" si="23">SUM(G71:G72)</f>
        <v>12000</v>
      </c>
      <c r="H70" s="368">
        <f t="shared" si="23"/>
        <v>14500</v>
      </c>
    </row>
    <row r="71" spans="1:8" x14ac:dyDescent="0.25">
      <c r="A71" s="366" t="s">
        <v>500</v>
      </c>
      <c r="B71" s="287" t="s">
        <v>596</v>
      </c>
      <c r="C71" s="367"/>
      <c r="D71" s="367"/>
      <c r="E71" s="367">
        <v>8000</v>
      </c>
      <c r="F71" s="367">
        <f>5000+3000</f>
        <v>8000</v>
      </c>
      <c r="G71" s="367">
        <v>10000</v>
      </c>
      <c r="H71" s="367">
        <v>12000</v>
      </c>
    </row>
    <row r="72" spans="1:8" x14ac:dyDescent="0.25">
      <c r="A72" s="366" t="s">
        <v>595</v>
      </c>
      <c r="B72" s="287" t="s">
        <v>597</v>
      </c>
      <c r="C72" s="367"/>
      <c r="D72" s="367"/>
      <c r="E72" s="367">
        <v>1500</v>
      </c>
      <c r="F72" s="367">
        <v>1500</v>
      </c>
      <c r="G72" s="367">
        <v>2000</v>
      </c>
      <c r="H72" s="367">
        <v>2500</v>
      </c>
    </row>
    <row r="73" spans="1:8" x14ac:dyDescent="0.25">
      <c r="A73" s="364" t="s">
        <v>121</v>
      </c>
      <c r="B73" s="288" t="s">
        <v>122</v>
      </c>
      <c r="C73" s="368">
        <f>SUM(C74)</f>
        <v>0</v>
      </c>
      <c r="D73" s="368">
        <f>SUM(D74)</f>
        <v>0</v>
      </c>
      <c r="E73" s="368">
        <f>SUM(E74)</f>
        <v>5500</v>
      </c>
      <c r="F73" s="368">
        <f>SUM(F74)</f>
        <v>5500</v>
      </c>
      <c r="G73" s="368">
        <f t="shared" ref="G73:H73" si="24">SUM(G74)</f>
        <v>6500</v>
      </c>
      <c r="H73" s="368">
        <f t="shared" si="24"/>
        <v>7500</v>
      </c>
    </row>
    <row r="74" spans="1:8" x14ac:dyDescent="0.25">
      <c r="A74" s="366" t="s">
        <v>501</v>
      </c>
      <c r="B74" s="287" t="s">
        <v>122</v>
      </c>
      <c r="C74" s="367"/>
      <c r="D74" s="367"/>
      <c r="E74" s="367">
        <v>5500</v>
      </c>
      <c r="F74" s="367">
        <f>3000+2500</f>
        <v>5500</v>
      </c>
      <c r="G74" s="367">
        <v>6500</v>
      </c>
      <c r="H74" s="367">
        <v>7500</v>
      </c>
    </row>
    <row r="75" spans="1:8" s="329" customFormat="1" x14ac:dyDescent="0.25">
      <c r="A75" s="364" t="s">
        <v>123</v>
      </c>
      <c r="B75" s="288" t="s">
        <v>124</v>
      </c>
      <c r="C75" s="328">
        <f t="shared" ref="C75:H75" si="25">C76+C80+C85+C87+C96+C100+C105+C110+C112</f>
        <v>0</v>
      </c>
      <c r="D75" s="328">
        <f t="shared" si="25"/>
        <v>0</v>
      </c>
      <c r="E75" s="328">
        <f t="shared" si="25"/>
        <v>1067396.33</v>
      </c>
      <c r="F75" s="328">
        <f t="shared" si="25"/>
        <v>1067396.33</v>
      </c>
      <c r="G75" s="328">
        <f t="shared" si="25"/>
        <v>1105996.33</v>
      </c>
      <c r="H75" s="328">
        <f t="shared" si="25"/>
        <v>1144696.33</v>
      </c>
    </row>
    <row r="76" spans="1:8" s="329" customFormat="1" x14ac:dyDescent="0.25">
      <c r="A76" s="364" t="s">
        <v>125</v>
      </c>
      <c r="B76" s="288" t="s">
        <v>126</v>
      </c>
      <c r="C76" s="328">
        <f t="shared" ref="C76:H76" si="26">SUM(C77:C79)</f>
        <v>0</v>
      </c>
      <c r="D76" s="328">
        <f t="shared" si="26"/>
        <v>0</v>
      </c>
      <c r="E76" s="328">
        <f t="shared" si="26"/>
        <v>46350</v>
      </c>
      <c r="F76" s="328">
        <f t="shared" si="26"/>
        <v>46350</v>
      </c>
      <c r="G76" s="328">
        <f t="shared" si="26"/>
        <v>48800</v>
      </c>
      <c r="H76" s="328">
        <f t="shared" si="26"/>
        <v>51350</v>
      </c>
    </row>
    <row r="77" spans="1:8" s="329" customFormat="1" x14ac:dyDescent="0.25">
      <c r="A77" s="366" t="s">
        <v>502</v>
      </c>
      <c r="B77" s="287" t="s">
        <v>426</v>
      </c>
      <c r="C77" s="351"/>
      <c r="D77" s="351"/>
      <c r="E77" s="351">
        <v>43000</v>
      </c>
      <c r="F77" s="351">
        <f>25000+18000</f>
        <v>43000</v>
      </c>
      <c r="G77" s="351">
        <v>45000</v>
      </c>
      <c r="H77" s="351">
        <v>47000</v>
      </c>
    </row>
    <row r="78" spans="1:8" x14ac:dyDescent="0.25">
      <c r="A78" s="366" t="s">
        <v>503</v>
      </c>
      <c r="B78" s="287" t="s">
        <v>427</v>
      </c>
      <c r="C78" s="367"/>
      <c r="D78" s="367"/>
      <c r="E78" s="367">
        <v>1500</v>
      </c>
      <c r="F78" s="367">
        <f>600+900</f>
        <v>1500</v>
      </c>
      <c r="G78" s="367">
        <v>1800</v>
      </c>
      <c r="H78" s="367">
        <v>2100</v>
      </c>
    </row>
    <row r="79" spans="1:8" x14ac:dyDescent="0.25">
      <c r="A79" s="366" t="s">
        <v>561</v>
      </c>
      <c r="B79" s="287" t="s">
        <v>562</v>
      </c>
      <c r="C79" s="367"/>
      <c r="D79" s="367"/>
      <c r="E79" s="367">
        <v>1850</v>
      </c>
      <c r="F79" s="367">
        <f>350+1500</f>
        <v>1850</v>
      </c>
      <c r="G79" s="367">
        <v>2000</v>
      </c>
      <c r="H79" s="367">
        <v>2250</v>
      </c>
    </row>
    <row r="80" spans="1:8" x14ac:dyDescent="0.25">
      <c r="A80" s="364" t="s">
        <v>127</v>
      </c>
      <c r="B80" s="288" t="s">
        <v>128</v>
      </c>
      <c r="C80" s="368">
        <f t="shared" ref="C80:H80" si="27">SUM(C81:C84)</f>
        <v>0</v>
      </c>
      <c r="D80" s="368">
        <f t="shared" si="27"/>
        <v>0</v>
      </c>
      <c r="E80" s="368">
        <f t="shared" si="27"/>
        <v>29500</v>
      </c>
      <c r="F80" s="368">
        <f t="shared" si="27"/>
        <v>29500</v>
      </c>
      <c r="G80" s="368">
        <f t="shared" si="27"/>
        <v>35500</v>
      </c>
      <c r="H80" s="368">
        <f t="shared" si="27"/>
        <v>41500</v>
      </c>
    </row>
    <row r="81" spans="1:8" x14ac:dyDescent="0.25">
      <c r="A81" s="366">
        <v>32321</v>
      </c>
      <c r="B81" s="287" t="s">
        <v>429</v>
      </c>
      <c r="C81" s="367"/>
      <c r="D81" s="367"/>
      <c r="E81" s="367">
        <v>10000</v>
      </c>
      <c r="F81" s="367">
        <f>5000+5000</f>
        <v>10000</v>
      </c>
      <c r="G81" s="367">
        <v>12000</v>
      </c>
      <c r="H81" s="367">
        <v>14000</v>
      </c>
    </row>
    <row r="82" spans="1:8" x14ac:dyDescent="0.25">
      <c r="A82" s="366">
        <v>32322</v>
      </c>
      <c r="B82" s="287" t="s">
        <v>430</v>
      </c>
      <c r="C82" s="367"/>
      <c r="D82" s="367"/>
      <c r="E82" s="367">
        <v>8000</v>
      </c>
      <c r="F82" s="367">
        <f>5000+3000</f>
        <v>8000</v>
      </c>
      <c r="G82" s="367">
        <v>10000</v>
      </c>
      <c r="H82" s="367">
        <v>12000</v>
      </c>
    </row>
    <row r="83" spans="1:8" s="342" customFormat="1" x14ac:dyDescent="0.25">
      <c r="A83" s="366">
        <v>32323</v>
      </c>
      <c r="B83" s="287" t="s">
        <v>428</v>
      </c>
      <c r="C83" s="367"/>
      <c r="D83" s="367"/>
      <c r="E83" s="367">
        <v>6500</v>
      </c>
      <c r="F83" s="367">
        <f>3500+3000</f>
        <v>6500</v>
      </c>
      <c r="G83" s="367">
        <v>7500</v>
      </c>
      <c r="H83" s="367">
        <v>8500</v>
      </c>
    </row>
    <row r="84" spans="1:8" s="342" customFormat="1" x14ac:dyDescent="0.25">
      <c r="A84" s="366" t="s">
        <v>598</v>
      </c>
      <c r="B84" s="287" t="s">
        <v>599</v>
      </c>
      <c r="C84" s="367"/>
      <c r="D84" s="367"/>
      <c r="E84" s="367">
        <v>5000</v>
      </c>
      <c r="F84" s="367">
        <v>5000</v>
      </c>
      <c r="G84" s="367">
        <v>6000</v>
      </c>
      <c r="H84" s="367">
        <v>7000</v>
      </c>
    </row>
    <row r="85" spans="1:8" s="342" customFormat="1" x14ac:dyDescent="0.25">
      <c r="A85" s="364" t="s">
        <v>129</v>
      </c>
      <c r="B85" s="288" t="s">
        <v>130</v>
      </c>
      <c r="C85" s="368">
        <f>SUM(C86)</f>
        <v>0</v>
      </c>
      <c r="D85" s="368">
        <f>SUM(D86)</f>
        <v>0</v>
      </c>
      <c r="E85" s="368">
        <f>SUM(E86)</f>
        <v>2663.61</v>
      </c>
      <c r="F85" s="368">
        <f>SUM(F86)</f>
        <v>2663.61</v>
      </c>
      <c r="G85" s="368">
        <f t="shared" ref="G85:H85" si="28">SUM(G86)</f>
        <v>2663.61</v>
      </c>
      <c r="H85" s="368">
        <f t="shared" si="28"/>
        <v>2663.61</v>
      </c>
    </row>
    <row r="86" spans="1:8" x14ac:dyDescent="0.25">
      <c r="A86" s="366" t="s">
        <v>504</v>
      </c>
      <c r="B86" s="287" t="s">
        <v>130</v>
      </c>
      <c r="C86" s="367"/>
      <c r="D86" s="367"/>
      <c r="E86" s="367">
        <v>2663.61</v>
      </c>
      <c r="F86" s="367">
        <f>2000+663.61</f>
        <v>2663.61</v>
      </c>
      <c r="G86" s="367">
        <v>2663.61</v>
      </c>
      <c r="H86" s="367">
        <v>2663.61</v>
      </c>
    </row>
    <row r="87" spans="1:8" x14ac:dyDescent="0.25">
      <c r="A87" s="371" t="s">
        <v>131</v>
      </c>
      <c r="B87" s="372" t="s">
        <v>132</v>
      </c>
      <c r="C87" s="368">
        <f>SUM(C88:C95)</f>
        <v>0</v>
      </c>
      <c r="D87" s="368">
        <f>SUM(D88:D95)</f>
        <v>0</v>
      </c>
      <c r="E87" s="368">
        <f>SUM(E88:E95)</f>
        <v>166650</v>
      </c>
      <c r="F87" s="368">
        <f>SUM(F88:F95)</f>
        <v>166650</v>
      </c>
      <c r="G87" s="368">
        <f t="shared" ref="G87:H87" si="29">SUM(G88:G95)</f>
        <v>175100</v>
      </c>
      <c r="H87" s="368">
        <f t="shared" si="29"/>
        <v>183550</v>
      </c>
    </row>
    <row r="88" spans="1:8" x14ac:dyDescent="0.25">
      <c r="A88" s="366">
        <v>32341</v>
      </c>
      <c r="B88" s="287" t="s">
        <v>432</v>
      </c>
      <c r="C88" s="367"/>
      <c r="D88" s="367"/>
      <c r="E88" s="367">
        <v>44000</v>
      </c>
      <c r="F88" s="367">
        <f>25000+13000+6000</f>
        <v>44000</v>
      </c>
      <c r="G88" s="367">
        <v>47000</v>
      </c>
      <c r="H88" s="367">
        <v>50000</v>
      </c>
    </row>
    <row r="89" spans="1:8" x14ac:dyDescent="0.25">
      <c r="A89" s="366">
        <v>32342</v>
      </c>
      <c r="B89" s="287" t="s">
        <v>433</v>
      </c>
      <c r="C89" s="367"/>
      <c r="D89" s="367"/>
      <c r="E89" s="367">
        <v>68000</v>
      </c>
      <c r="F89" s="367">
        <f>15000+18000+35000</f>
        <v>68000</v>
      </c>
      <c r="G89" s="367">
        <v>70000</v>
      </c>
      <c r="H89" s="367">
        <v>72000</v>
      </c>
    </row>
    <row r="90" spans="1:8" x14ac:dyDescent="0.25">
      <c r="A90" s="366">
        <v>32343</v>
      </c>
      <c r="B90" s="287" t="s">
        <v>434</v>
      </c>
      <c r="C90" s="367"/>
      <c r="D90" s="367"/>
      <c r="E90" s="367">
        <v>2800</v>
      </c>
      <c r="F90" s="367">
        <f>1800+1000</f>
        <v>2800</v>
      </c>
      <c r="G90" s="367">
        <v>3300</v>
      </c>
      <c r="H90" s="367">
        <v>3800</v>
      </c>
    </row>
    <row r="91" spans="1:8" x14ac:dyDescent="0.25">
      <c r="A91" s="366" t="s">
        <v>607</v>
      </c>
      <c r="B91" s="287" t="s">
        <v>600</v>
      </c>
      <c r="C91" s="367"/>
      <c r="D91" s="367"/>
      <c r="E91" s="367">
        <v>2000</v>
      </c>
      <c r="F91" s="367">
        <f>1500+500</f>
        <v>2000</v>
      </c>
      <c r="G91" s="367">
        <v>2500</v>
      </c>
      <c r="H91" s="367">
        <v>3000</v>
      </c>
    </row>
    <row r="92" spans="1:8" x14ac:dyDescent="0.25">
      <c r="A92" s="366" t="s">
        <v>601</v>
      </c>
      <c r="B92" s="287" t="s">
        <v>604</v>
      </c>
      <c r="C92" s="367"/>
      <c r="D92" s="367"/>
      <c r="E92" s="367">
        <v>9000</v>
      </c>
      <c r="F92" s="367">
        <v>9000</v>
      </c>
      <c r="G92" s="367">
        <v>9400</v>
      </c>
      <c r="H92" s="367">
        <v>9800</v>
      </c>
    </row>
    <row r="93" spans="1:8" x14ac:dyDescent="0.25">
      <c r="A93" s="366" t="s">
        <v>602</v>
      </c>
      <c r="B93" s="287" t="s">
        <v>605</v>
      </c>
      <c r="C93" s="367"/>
      <c r="D93" s="367"/>
      <c r="E93" s="367">
        <v>6000</v>
      </c>
      <c r="F93" s="367">
        <f>2000+4000</f>
        <v>6000</v>
      </c>
      <c r="G93" s="367">
        <v>6500</v>
      </c>
      <c r="H93" s="367">
        <v>7000</v>
      </c>
    </row>
    <row r="94" spans="1:8" x14ac:dyDescent="0.25">
      <c r="A94" s="366" t="s">
        <v>603</v>
      </c>
      <c r="B94" s="287" t="s">
        <v>606</v>
      </c>
      <c r="C94" s="367"/>
      <c r="D94" s="367"/>
      <c r="E94" s="367">
        <v>150</v>
      </c>
      <c r="F94" s="367">
        <v>150</v>
      </c>
      <c r="G94" s="367">
        <v>200</v>
      </c>
      <c r="H94" s="367">
        <v>250</v>
      </c>
    </row>
    <row r="95" spans="1:8" x14ac:dyDescent="0.25">
      <c r="A95" s="290">
        <v>32349</v>
      </c>
      <c r="B95" s="291" t="s">
        <v>435</v>
      </c>
      <c r="C95" s="367"/>
      <c r="D95" s="367"/>
      <c r="E95" s="367">
        <v>34700</v>
      </c>
      <c r="F95" s="367">
        <f>700+30000+4000</f>
        <v>34700</v>
      </c>
      <c r="G95" s="367">
        <v>36200</v>
      </c>
      <c r="H95" s="367">
        <v>37700</v>
      </c>
    </row>
    <row r="96" spans="1:8" x14ac:dyDescent="0.25">
      <c r="A96" s="371">
        <v>3235</v>
      </c>
      <c r="B96" s="372" t="s">
        <v>133</v>
      </c>
      <c r="C96" s="368">
        <f t="shared" ref="C96:H96" si="30">SUM(C97:C99)</f>
        <v>0</v>
      </c>
      <c r="D96" s="368">
        <f t="shared" si="30"/>
        <v>0</v>
      </c>
      <c r="E96" s="368">
        <f t="shared" si="30"/>
        <v>7832.72</v>
      </c>
      <c r="F96" s="368">
        <f t="shared" si="30"/>
        <v>7832.72</v>
      </c>
      <c r="G96" s="368">
        <f t="shared" si="30"/>
        <v>8232.7199999999993</v>
      </c>
      <c r="H96" s="368">
        <f t="shared" si="30"/>
        <v>8632.7199999999993</v>
      </c>
    </row>
    <row r="97" spans="1:8" x14ac:dyDescent="0.25">
      <c r="A97" s="290">
        <v>32353</v>
      </c>
      <c r="B97" s="289" t="s">
        <v>608</v>
      </c>
      <c r="C97" s="367"/>
      <c r="D97" s="367"/>
      <c r="E97" s="367">
        <v>1800</v>
      </c>
      <c r="F97" s="367">
        <v>1800</v>
      </c>
      <c r="G97" s="367">
        <v>2000</v>
      </c>
      <c r="H97" s="367">
        <v>2200</v>
      </c>
    </row>
    <row r="98" spans="1:8" x14ac:dyDescent="0.25">
      <c r="A98" s="290">
        <v>32354</v>
      </c>
      <c r="B98" s="289" t="s">
        <v>609</v>
      </c>
      <c r="C98" s="367"/>
      <c r="D98" s="367"/>
      <c r="E98" s="367">
        <v>5700</v>
      </c>
      <c r="F98" s="367">
        <v>5700</v>
      </c>
      <c r="G98" s="367">
        <v>5900</v>
      </c>
      <c r="H98" s="367">
        <v>6100</v>
      </c>
    </row>
    <row r="99" spans="1:8" s="342" customFormat="1" x14ac:dyDescent="0.25">
      <c r="A99" s="290">
        <v>32359</v>
      </c>
      <c r="B99" s="289" t="s">
        <v>436</v>
      </c>
      <c r="C99" s="367"/>
      <c r="D99" s="367"/>
      <c r="E99" s="367">
        <v>332.72</v>
      </c>
      <c r="F99" s="367">
        <f>132.72+200</f>
        <v>332.72</v>
      </c>
      <c r="G99" s="367">
        <v>332.72</v>
      </c>
      <c r="H99" s="367">
        <v>332.72</v>
      </c>
    </row>
    <row r="100" spans="1:8" s="342" customFormat="1" x14ac:dyDescent="0.25">
      <c r="A100" s="371">
        <v>3236</v>
      </c>
      <c r="B100" s="372" t="s">
        <v>134</v>
      </c>
      <c r="C100" s="368">
        <f t="shared" ref="C100:H100" si="31">SUM(C101:C104)</f>
        <v>0</v>
      </c>
      <c r="D100" s="368">
        <f t="shared" si="31"/>
        <v>0</v>
      </c>
      <c r="E100" s="368">
        <f t="shared" si="31"/>
        <v>463000</v>
      </c>
      <c r="F100" s="368">
        <f t="shared" si="31"/>
        <v>463000</v>
      </c>
      <c r="G100" s="368">
        <f t="shared" si="31"/>
        <v>471500</v>
      </c>
      <c r="H100" s="368">
        <f t="shared" si="31"/>
        <v>480000</v>
      </c>
    </row>
    <row r="101" spans="1:8" s="342" customFormat="1" x14ac:dyDescent="0.25">
      <c r="A101" s="290">
        <v>32361</v>
      </c>
      <c r="B101" s="289" t="s">
        <v>612</v>
      </c>
      <c r="C101" s="367"/>
      <c r="D101" s="367"/>
      <c r="E101" s="367">
        <v>4000</v>
      </c>
      <c r="F101" s="367">
        <v>4000</v>
      </c>
      <c r="G101" s="367">
        <v>5000</v>
      </c>
      <c r="H101" s="367">
        <v>6000</v>
      </c>
    </row>
    <row r="102" spans="1:8" s="342" customFormat="1" x14ac:dyDescent="0.25">
      <c r="A102" s="290">
        <v>32362</v>
      </c>
      <c r="B102" s="289" t="s">
        <v>611</v>
      </c>
      <c r="C102" s="367"/>
      <c r="D102" s="367"/>
      <c r="E102" s="367">
        <v>2000</v>
      </c>
      <c r="F102" s="367">
        <v>2000</v>
      </c>
      <c r="G102" s="367">
        <v>3000</v>
      </c>
      <c r="H102" s="367">
        <v>4000</v>
      </c>
    </row>
    <row r="103" spans="1:8" s="342" customFormat="1" x14ac:dyDescent="0.25">
      <c r="A103" s="290">
        <v>32363</v>
      </c>
      <c r="B103" s="289" t="s">
        <v>610</v>
      </c>
      <c r="C103" s="367"/>
      <c r="D103" s="367"/>
      <c r="E103" s="367">
        <v>30000</v>
      </c>
      <c r="F103" s="367">
        <v>30000</v>
      </c>
      <c r="G103" s="367">
        <v>32500</v>
      </c>
      <c r="H103" s="367">
        <v>35000</v>
      </c>
    </row>
    <row r="104" spans="1:8" x14ac:dyDescent="0.25">
      <c r="A104" s="290">
        <v>32369</v>
      </c>
      <c r="B104" s="289" t="s">
        <v>134</v>
      </c>
      <c r="C104" s="367"/>
      <c r="D104" s="367"/>
      <c r="E104" s="367">
        <v>427000</v>
      </c>
      <c r="F104" s="367">
        <f>55000+32000+340000</f>
        <v>427000</v>
      </c>
      <c r="G104" s="367">
        <v>431000</v>
      </c>
      <c r="H104" s="367">
        <v>435000</v>
      </c>
    </row>
    <row r="105" spans="1:8" x14ac:dyDescent="0.25">
      <c r="A105" s="371">
        <v>3237</v>
      </c>
      <c r="B105" s="372" t="s">
        <v>135</v>
      </c>
      <c r="C105" s="368">
        <f>SUM(C106:C109)</f>
        <v>0</v>
      </c>
      <c r="D105" s="368">
        <f>SUM(D106:D109)</f>
        <v>0</v>
      </c>
      <c r="E105" s="368">
        <f>SUM(E106:E109)</f>
        <v>295500</v>
      </c>
      <c r="F105" s="368">
        <f>SUM(F106:F109)</f>
        <v>295500</v>
      </c>
      <c r="G105" s="368">
        <f t="shared" ref="G105:H105" si="32">SUM(G106:G109)</f>
        <v>303000</v>
      </c>
      <c r="H105" s="368">
        <f t="shared" si="32"/>
        <v>310500</v>
      </c>
    </row>
    <row r="106" spans="1:8" x14ac:dyDescent="0.25">
      <c r="A106" s="290">
        <v>32372</v>
      </c>
      <c r="B106" s="289" t="s">
        <v>438</v>
      </c>
      <c r="C106" s="367"/>
      <c r="D106" s="367"/>
      <c r="E106" s="367">
        <v>260000</v>
      </c>
      <c r="F106" s="367">
        <f>90000+100000+70000</f>
        <v>260000</v>
      </c>
      <c r="G106" s="367">
        <v>265000</v>
      </c>
      <c r="H106" s="367">
        <v>270000</v>
      </c>
    </row>
    <row r="107" spans="1:8" x14ac:dyDescent="0.25">
      <c r="A107" s="290">
        <v>32373</v>
      </c>
      <c r="B107" s="289" t="s">
        <v>439</v>
      </c>
      <c r="C107" s="367"/>
      <c r="D107" s="367"/>
      <c r="E107" s="367">
        <v>25000</v>
      </c>
      <c r="F107" s="367">
        <f>15000+10000</f>
        <v>25000</v>
      </c>
      <c r="G107" s="367">
        <v>26500</v>
      </c>
      <c r="H107" s="367">
        <v>28000</v>
      </c>
    </row>
    <row r="108" spans="1:8" x14ac:dyDescent="0.25">
      <c r="A108" s="290">
        <v>32375</v>
      </c>
      <c r="B108" s="289" t="s">
        <v>563</v>
      </c>
      <c r="C108" s="367"/>
      <c r="D108" s="367"/>
      <c r="E108" s="367">
        <v>1000</v>
      </c>
      <c r="F108" s="367">
        <v>1000</v>
      </c>
      <c r="G108" s="367">
        <v>1000</v>
      </c>
      <c r="H108" s="367">
        <v>1000</v>
      </c>
    </row>
    <row r="109" spans="1:8" x14ac:dyDescent="0.25">
      <c r="A109" s="290">
        <v>32379</v>
      </c>
      <c r="B109" s="289" t="s">
        <v>505</v>
      </c>
      <c r="C109" s="367"/>
      <c r="D109" s="367"/>
      <c r="E109" s="367">
        <v>9500</v>
      </c>
      <c r="F109" s="367">
        <f>4500+5000</f>
        <v>9500</v>
      </c>
      <c r="G109" s="367">
        <v>10500</v>
      </c>
      <c r="H109" s="367">
        <v>11500</v>
      </c>
    </row>
    <row r="110" spans="1:8" s="329" customFormat="1" x14ac:dyDescent="0.25">
      <c r="A110" s="371" t="s">
        <v>136</v>
      </c>
      <c r="B110" s="372" t="s">
        <v>137</v>
      </c>
      <c r="C110" s="368">
        <f>SUM(C111)</f>
        <v>0</v>
      </c>
      <c r="D110" s="368">
        <f>SUM(D111)</f>
        <v>0</v>
      </c>
      <c r="E110" s="368">
        <f>SUM(E111)</f>
        <v>3500</v>
      </c>
      <c r="F110" s="368">
        <f>SUM(F111)</f>
        <v>3500</v>
      </c>
      <c r="G110" s="368">
        <f t="shared" ref="G110:H110" si="33">SUM(G111)</f>
        <v>4500</v>
      </c>
      <c r="H110" s="368">
        <f t="shared" si="33"/>
        <v>5500</v>
      </c>
    </row>
    <row r="111" spans="1:8" x14ac:dyDescent="0.25">
      <c r="A111" s="290">
        <v>32389</v>
      </c>
      <c r="B111" s="289" t="s">
        <v>440</v>
      </c>
      <c r="C111" s="367"/>
      <c r="D111" s="367"/>
      <c r="E111" s="367">
        <v>3500</v>
      </c>
      <c r="F111" s="367">
        <v>3500</v>
      </c>
      <c r="G111" s="367">
        <v>4500</v>
      </c>
      <c r="H111" s="367">
        <v>5500</v>
      </c>
    </row>
    <row r="112" spans="1:8" x14ac:dyDescent="0.25">
      <c r="A112" s="371" t="s">
        <v>138</v>
      </c>
      <c r="B112" s="372" t="s">
        <v>139</v>
      </c>
      <c r="C112" s="368">
        <f t="shared" ref="C112:H112" si="34">SUM(C113:C116)</f>
        <v>0</v>
      </c>
      <c r="D112" s="368">
        <f t="shared" si="34"/>
        <v>0</v>
      </c>
      <c r="E112" s="368">
        <f t="shared" si="34"/>
        <v>52400</v>
      </c>
      <c r="F112" s="368">
        <f t="shared" si="34"/>
        <v>52400</v>
      </c>
      <c r="G112" s="368">
        <f t="shared" si="34"/>
        <v>56700</v>
      </c>
      <c r="H112" s="368">
        <f t="shared" si="34"/>
        <v>61000</v>
      </c>
    </row>
    <row r="113" spans="1:8" x14ac:dyDescent="0.25">
      <c r="A113" s="290">
        <v>32391</v>
      </c>
      <c r="B113" s="289" t="s">
        <v>613</v>
      </c>
      <c r="C113" s="367"/>
      <c r="D113" s="367"/>
      <c r="E113" s="367">
        <v>1300</v>
      </c>
      <c r="F113" s="367">
        <v>1300</v>
      </c>
      <c r="G113" s="367">
        <v>1500</v>
      </c>
      <c r="H113" s="367">
        <v>1700</v>
      </c>
    </row>
    <row r="114" spans="1:8" x14ac:dyDescent="0.25">
      <c r="A114" s="290">
        <v>32394</v>
      </c>
      <c r="B114" s="289" t="s">
        <v>441</v>
      </c>
      <c r="C114" s="367"/>
      <c r="D114" s="367"/>
      <c r="E114" s="367">
        <v>5800</v>
      </c>
      <c r="F114" s="367">
        <f>3800+2000</f>
        <v>5800</v>
      </c>
      <c r="G114" s="367">
        <v>6400</v>
      </c>
      <c r="H114" s="367">
        <v>7000</v>
      </c>
    </row>
    <row r="115" spans="1:8" x14ac:dyDescent="0.25">
      <c r="A115" s="290">
        <v>32395</v>
      </c>
      <c r="B115" s="289" t="s">
        <v>442</v>
      </c>
      <c r="C115" s="367"/>
      <c r="D115" s="367"/>
      <c r="E115" s="367">
        <v>17300</v>
      </c>
      <c r="F115" s="367">
        <f>17000+300</f>
        <v>17300</v>
      </c>
      <c r="G115" s="367">
        <v>18300</v>
      </c>
      <c r="H115" s="367">
        <v>19300</v>
      </c>
    </row>
    <row r="116" spans="1:8" x14ac:dyDescent="0.25">
      <c r="A116" s="290">
        <v>32399</v>
      </c>
      <c r="B116" s="289" t="s">
        <v>311</v>
      </c>
      <c r="C116" s="367"/>
      <c r="D116" s="367"/>
      <c r="E116" s="367">
        <v>28000</v>
      </c>
      <c r="F116" s="367">
        <f>13000+15000</f>
        <v>28000</v>
      </c>
      <c r="G116" s="367">
        <v>30500</v>
      </c>
      <c r="H116" s="367">
        <v>33000</v>
      </c>
    </row>
    <row r="117" spans="1:8" x14ac:dyDescent="0.25">
      <c r="A117" s="369">
        <v>324</v>
      </c>
      <c r="B117" s="373" t="s">
        <v>140</v>
      </c>
      <c r="C117" s="328">
        <f t="shared" ref="C117:F118" si="35">SUM(C118)</f>
        <v>0</v>
      </c>
      <c r="D117" s="328">
        <f t="shared" si="35"/>
        <v>0</v>
      </c>
      <c r="E117" s="328">
        <f t="shared" si="35"/>
        <v>400</v>
      </c>
      <c r="F117" s="328">
        <f t="shared" si="35"/>
        <v>400</v>
      </c>
      <c r="G117" s="328">
        <f t="shared" ref="G117:H118" si="36">SUM(G118)</f>
        <v>400</v>
      </c>
      <c r="H117" s="328">
        <f t="shared" si="36"/>
        <v>400</v>
      </c>
    </row>
    <row r="118" spans="1:8" x14ac:dyDescent="0.25">
      <c r="A118" s="369">
        <v>3241</v>
      </c>
      <c r="B118" s="373" t="s">
        <v>140</v>
      </c>
      <c r="C118" s="328">
        <f t="shared" si="35"/>
        <v>0</v>
      </c>
      <c r="D118" s="328">
        <f t="shared" si="35"/>
        <v>0</v>
      </c>
      <c r="E118" s="328">
        <f t="shared" si="35"/>
        <v>400</v>
      </c>
      <c r="F118" s="328">
        <f t="shared" si="35"/>
        <v>400</v>
      </c>
      <c r="G118" s="328">
        <f t="shared" si="36"/>
        <v>400</v>
      </c>
      <c r="H118" s="328">
        <f t="shared" si="36"/>
        <v>400</v>
      </c>
    </row>
    <row r="119" spans="1:8" x14ac:dyDescent="0.25">
      <c r="A119" s="370" t="s">
        <v>506</v>
      </c>
      <c r="B119" s="374" t="s">
        <v>452</v>
      </c>
      <c r="C119" s="367">
        <v>0</v>
      </c>
      <c r="D119" s="367"/>
      <c r="E119" s="367">
        <v>400</v>
      </c>
      <c r="F119" s="367">
        <v>400</v>
      </c>
      <c r="G119" s="367">
        <v>400</v>
      </c>
      <c r="H119" s="367">
        <v>400</v>
      </c>
    </row>
    <row r="120" spans="1:8" s="329" customFormat="1" x14ac:dyDescent="0.25">
      <c r="A120" s="369" t="s">
        <v>579</v>
      </c>
      <c r="B120" s="373" t="s">
        <v>633</v>
      </c>
      <c r="C120" s="368">
        <f t="shared" ref="C120:H120" si="37">C121+C124+C126</f>
        <v>0</v>
      </c>
      <c r="D120" s="368">
        <f t="shared" si="37"/>
        <v>0</v>
      </c>
      <c r="E120" s="368">
        <f t="shared" si="37"/>
        <v>2675733</v>
      </c>
      <c r="F120" s="368">
        <f t="shared" si="37"/>
        <v>2675733</v>
      </c>
      <c r="G120" s="368">
        <f t="shared" si="37"/>
        <v>2753733</v>
      </c>
      <c r="H120" s="368">
        <f t="shared" si="37"/>
        <v>2834233</v>
      </c>
    </row>
    <row r="121" spans="1:8" s="329" customFormat="1" x14ac:dyDescent="0.25">
      <c r="A121" s="369" t="s">
        <v>580</v>
      </c>
      <c r="B121" s="373" t="s">
        <v>633</v>
      </c>
      <c r="C121" s="368">
        <f t="shared" ref="C121:H121" si="38">C122+C123</f>
        <v>0</v>
      </c>
      <c r="D121" s="368">
        <f t="shared" si="38"/>
        <v>0</v>
      </c>
      <c r="E121" s="368">
        <f t="shared" si="38"/>
        <v>990000</v>
      </c>
      <c r="F121" s="368">
        <f t="shared" si="38"/>
        <v>990000</v>
      </c>
      <c r="G121" s="368">
        <f t="shared" si="38"/>
        <v>1037000</v>
      </c>
      <c r="H121" s="368">
        <f t="shared" si="38"/>
        <v>1085700</v>
      </c>
    </row>
    <row r="122" spans="1:8" x14ac:dyDescent="0.25">
      <c r="A122" s="370" t="s">
        <v>581</v>
      </c>
      <c r="B122" s="374" t="s">
        <v>583</v>
      </c>
      <c r="C122" s="367"/>
      <c r="D122" s="367"/>
      <c r="E122" s="367">
        <v>60000</v>
      </c>
      <c r="F122" s="367">
        <f>40000+20000</f>
        <v>60000</v>
      </c>
      <c r="G122" s="367">
        <v>73000</v>
      </c>
      <c r="H122" s="367">
        <v>87000</v>
      </c>
    </row>
    <row r="123" spans="1:8" x14ac:dyDescent="0.25">
      <c r="A123" s="370" t="s">
        <v>582</v>
      </c>
      <c r="B123" s="374" t="s">
        <v>584</v>
      </c>
      <c r="C123" s="367"/>
      <c r="D123" s="367"/>
      <c r="E123" s="367">
        <v>930000</v>
      </c>
      <c r="F123" s="367">
        <f>220000+250000+460000</f>
        <v>930000</v>
      </c>
      <c r="G123" s="367">
        <v>964000</v>
      </c>
      <c r="H123" s="367">
        <v>998700</v>
      </c>
    </row>
    <row r="124" spans="1:8" s="329" customFormat="1" x14ac:dyDescent="0.25">
      <c r="A124" s="369" t="s">
        <v>614</v>
      </c>
      <c r="B124" s="373" t="s">
        <v>616</v>
      </c>
      <c r="C124" s="368">
        <f t="shared" ref="C124:H124" si="39">C125</f>
        <v>0</v>
      </c>
      <c r="D124" s="368">
        <f t="shared" si="39"/>
        <v>0</v>
      </c>
      <c r="E124" s="368">
        <f t="shared" si="39"/>
        <v>5000</v>
      </c>
      <c r="F124" s="368">
        <f t="shared" si="39"/>
        <v>5000</v>
      </c>
      <c r="G124" s="368">
        <f t="shared" si="39"/>
        <v>6000</v>
      </c>
      <c r="H124" s="368">
        <f t="shared" si="39"/>
        <v>7000</v>
      </c>
    </row>
    <row r="125" spans="1:8" x14ac:dyDescent="0.25">
      <c r="A125" s="370" t="s">
        <v>615</v>
      </c>
      <c r="B125" s="374" t="s">
        <v>621</v>
      </c>
      <c r="C125" s="367"/>
      <c r="D125" s="367"/>
      <c r="E125" s="367">
        <v>5000</v>
      </c>
      <c r="F125" s="367">
        <v>5000</v>
      </c>
      <c r="G125" s="367">
        <v>6000</v>
      </c>
      <c r="H125" s="367">
        <v>7000</v>
      </c>
    </row>
    <row r="126" spans="1:8" s="329" customFormat="1" x14ac:dyDescent="0.25">
      <c r="A126" s="369" t="s">
        <v>617</v>
      </c>
      <c r="B126" s="373" t="s">
        <v>619</v>
      </c>
      <c r="C126" s="368">
        <f t="shared" ref="C126:H126" si="40">C127</f>
        <v>0</v>
      </c>
      <c r="D126" s="368">
        <f t="shared" si="40"/>
        <v>0</v>
      </c>
      <c r="E126" s="368">
        <f t="shared" si="40"/>
        <v>1680733</v>
      </c>
      <c r="F126" s="368">
        <f t="shared" si="40"/>
        <v>1680733</v>
      </c>
      <c r="G126" s="368">
        <f t="shared" si="40"/>
        <v>1710733</v>
      </c>
      <c r="H126" s="368">
        <f t="shared" si="40"/>
        <v>1741533</v>
      </c>
    </row>
    <row r="127" spans="1:8" x14ac:dyDescent="0.25">
      <c r="A127" s="370" t="s">
        <v>618</v>
      </c>
      <c r="B127" s="374" t="s">
        <v>620</v>
      </c>
      <c r="C127" s="367"/>
      <c r="D127" s="367"/>
      <c r="E127" s="367">
        <v>1680733</v>
      </c>
      <c r="F127" s="367">
        <v>1680733</v>
      </c>
      <c r="G127" s="367">
        <v>1710733</v>
      </c>
      <c r="H127" s="367">
        <v>1741533</v>
      </c>
    </row>
    <row r="128" spans="1:8" x14ac:dyDescent="0.25">
      <c r="A128" s="371">
        <v>329</v>
      </c>
      <c r="B128" s="372" t="s">
        <v>141</v>
      </c>
      <c r="C128" s="328">
        <f>C129+C131+C135+C137+C139+C144+C146</f>
        <v>0</v>
      </c>
      <c r="D128" s="328">
        <f>D129+D131+D135+D137+D139+D144+D146</f>
        <v>0</v>
      </c>
      <c r="E128" s="328">
        <f>E129+E131+E135+E137+E139+E144+E146</f>
        <v>120680</v>
      </c>
      <c r="F128" s="328">
        <f>F129+F131+F135+F137+F139+F144+F146</f>
        <v>120680</v>
      </c>
      <c r="G128" s="328">
        <f t="shared" ref="G128:H128" si="41">G129+G131+G135+G137+G139+G144+G146</f>
        <v>129740</v>
      </c>
      <c r="H128" s="328">
        <f t="shared" si="41"/>
        <v>140100</v>
      </c>
    </row>
    <row r="129" spans="1:8" x14ac:dyDescent="0.25">
      <c r="A129" s="371" t="s">
        <v>142</v>
      </c>
      <c r="B129" s="372" t="s">
        <v>143</v>
      </c>
      <c r="C129" s="328">
        <f>SUM(C130)</f>
        <v>0</v>
      </c>
      <c r="D129" s="328">
        <f>SUM(D130)</f>
        <v>0</v>
      </c>
      <c r="E129" s="328">
        <f>SUM(E130)</f>
        <v>25500</v>
      </c>
      <c r="F129" s="328">
        <f>SUM(F130)</f>
        <v>25500</v>
      </c>
      <c r="G129" s="328">
        <f t="shared" ref="G129:H129" si="42">SUM(G130)</f>
        <v>27500</v>
      </c>
      <c r="H129" s="328">
        <f t="shared" si="42"/>
        <v>30500</v>
      </c>
    </row>
    <row r="130" spans="1:8" x14ac:dyDescent="0.25">
      <c r="A130" s="290">
        <v>32911</v>
      </c>
      <c r="B130" s="289" t="s">
        <v>143</v>
      </c>
      <c r="C130" s="375"/>
      <c r="D130" s="375"/>
      <c r="E130" s="375">
        <v>25500</v>
      </c>
      <c r="F130" s="375">
        <f>7000+9000+9500</f>
        <v>25500</v>
      </c>
      <c r="G130" s="375">
        <v>27500</v>
      </c>
      <c r="H130" s="375">
        <v>30500</v>
      </c>
    </row>
    <row r="131" spans="1:8" x14ac:dyDescent="0.25">
      <c r="A131" s="371">
        <v>3292</v>
      </c>
      <c r="B131" s="372" t="s">
        <v>144</v>
      </c>
      <c r="C131" s="376">
        <f>SUM(C132:C134)</f>
        <v>0</v>
      </c>
      <c r="D131" s="376">
        <f>SUM(D132:D134)</f>
        <v>0</v>
      </c>
      <c r="E131" s="376">
        <f>SUM(E132:E134)</f>
        <v>72000</v>
      </c>
      <c r="F131" s="376">
        <f>SUM(F132:F134)</f>
        <v>72000</v>
      </c>
      <c r="G131" s="376">
        <f t="shared" ref="G131:H131" si="43">SUM(G132:G134)</f>
        <v>76200</v>
      </c>
      <c r="H131" s="376">
        <f t="shared" si="43"/>
        <v>80700</v>
      </c>
    </row>
    <row r="132" spans="1:8" x14ac:dyDescent="0.25">
      <c r="A132" s="290">
        <v>32921</v>
      </c>
      <c r="B132" s="289" t="s">
        <v>446</v>
      </c>
      <c r="C132" s="375"/>
      <c r="D132" s="375"/>
      <c r="E132" s="375">
        <v>11500</v>
      </c>
      <c r="F132" s="375">
        <f>7000+500+4000</f>
        <v>11500</v>
      </c>
      <c r="G132" s="375">
        <v>12500</v>
      </c>
      <c r="H132" s="375">
        <v>13500</v>
      </c>
    </row>
    <row r="133" spans="1:8" x14ac:dyDescent="0.25">
      <c r="A133" s="290">
        <v>32922</v>
      </c>
      <c r="B133" s="289" t="s">
        <v>445</v>
      </c>
      <c r="C133" s="375"/>
      <c r="D133" s="375"/>
      <c r="E133" s="375">
        <v>32800</v>
      </c>
      <c r="F133" s="375">
        <f>30000+2800</f>
        <v>32800</v>
      </c>
      <c r="G133" s="375">
        <v>34000</v>
      </c>
      <c r="H133" s="375">
        <v>35500</v>
      </c>
    </row>
    <row r="134" spans="1:8" x14ac:dyDescent="0.25">
      <c r="A134" s="290">
        <v>32923</v>
      </c>
      <c r="B134" s="289" t="s">
        <v>443</v>
      </c>
      <c r="C134" s="367"/>
      <c r="D134" s="367"/>
      <c r="E134" s="367">
        <v>27700</v>
      </c>
      <c r="F134" s="367">
        <f>3500+16000+8200</f>
        <v>27700</v>
      </c>
      <c r="G134" s="367">
        <v>29700</v>
      </c>
      <c r="H134" s="367">
        <v>31700</v>
      </c>
    </row>
    <row r="135" spans="1:8" x14ac:dyDescent="0.25">
      <c r="A135" s="371">
        <v>3293</v>
      </c>
      <c r="B135" s="372" t="s">
        <v>145</v>
      </c>
      <c r="C135" s="368">
        <f>SUM(C136)</f>
        <v>0</v>
      </c>
      <c r="D135" s="368">
        <f>SUM(D136)</f>
        <v>0</v>
      </c>
      <c r="E135" s="368">
        <f>SUM(E136)</f>
        <v>3350</v>
      </c>
      <c r="F135" s="368">
        <f>SUM(F136)</f>
        <v>3350</v>
      </c>
      <c r="G135" s="368">
        <f t="shared" ref="G135:H135" si="44">SUM(G136)</f>
        <v>3750</v>
      </c>
      <c r="H135" s="368">
        <f t="shared" si="44"/>
        <v>4250</v>
      </c>
    </row>
    <row r="136" spans="1:8" x14ac:dyDescent="0.25">
      <c r="A136" s="290">
        <v>32931</v>
      </c>
      <c r="B136" s="289" t="s">
        <v>145</v>
      </c>
      <c r="C136" s="367"/>
      <c r="D136" s="367"/>
      <c r="E136" s="367">
        <v>3350</v>
      </c>
      <c r="F136" s="367">
        <v>3350</v>
      </c>
      <c r="G136" s="367">
        <v>3750</v>
      </c>
      <c r="H136" s="367">
        <v>4250</v>
      </c>
    </row>
    <row r="137" spans="1:8" x14ac:dyDescent="0.25">
      <c r="A137" s="371">
        <v>3294</v>
      </c>
      <c r="B137" s="372" t="s">
        <v>146</v>
      </c>
      <c r="C137" s="368">
        <f>SUM(C138)</f>
        <v>0</v>
      </c>
      <c r="D137" s="368">
        <f>SUM(D138)</f>
        <v>0</v>
      </c>
      <c r="E137" s="368">
        <f>SUM(E138)</f>
        <v>5750</v>
      </c>
      <c r="F137" s="368">
        <f>SUM(F138)</f>
        <v>5750</v>
      </c>
      <c r="G137" s="368">
        <f t="shared" ref="G137:H137" si="45">SUM(G138)</f>
        <v>6000</v>
      </c>
      <c r="H137" s="368">
        <f t="shared" si="45"/>
        <v>6250</v>
      </c>
    </row>
    <row r="138" spans="1:8" x14ac:dyDescent="0.25">
      <c r="A138" s="290">
        <v>32941</v>
      </c>
      <c r="B138" s="289" t="s">
        <v>447</v>
      </c>
      <c r="C138" s="367"/>
      <c r="D138" s="367"/>
      <c r="E138" s="367">
        <v>5750</v>
      </c>
      <c r="F138" s="367">
        <f>2750+3000</f>
        <v>5750</v>
      </c>
      <c r="G138" s="367">
        <v>6000</v>
      </c>
      <c r="H138" s="367">
        <v>6250</v>
      </c>
    </row>
    <row r="139" spans="1:8" x14ac:dyDescent="0.25">
      <c r="A139" s="295">
        <v>3295</v>
      </c>
      <c r="B139" s="296" t="s">
        <v>147</v>
      </c>
      <c r="C139" s="368">
        <f t="shared" ref="C139:H139" si="46">SUM(C140:C143)</f>
        <v>0</v>
      </c>
      <c r="D139" s="368">
        <f t="shared" si="46"/>
        <v>0</v>
      </c>
      <c r="E139" s="368">
        <f t="shared" si="46"/>
        <v>4360</v>
      </c>
      <c r="F139" s="368">
        <f t="shared" si="46"/>
        <v>4360</v>
      </c>
      <c r="G139" s="368">
        <f t="shared" si="46"/>
        <v>4970</v>
      </c>
      <c r="H139" s="368">
        <f t="shared" si="46"/>
        <v>5480</v>
      </c>
    </row>
    <row r="140" spans="1:8" x14ac:dyDescent="0.25">
      <c r="A140" s="292">
        <v>32951</v>
      </c>
      <c r="B140" s="291" t="s">
        <v>622</v>
      </c>
      <c r="C140" s="367"/>
      <c r="D140" s="367"/>
      <c r="E140" s="367">
        <v>10</v>
      </c>
      <c r="F140" s="367">
        <v>10</v>
      </c>
      <c r="G140" s="367">
        <v>20</v>
      </c>
      <c r="H140" s="367">
        <v>30</v>
      </c>
    </row>
    <row r="141" spans="1:8" x14ac:dyDescent="0.25">
      <c r="A141" s="292">
        <v>32952</v>
      </c>
      <c r="B141" s="291" t="s">
        <v>449</v>
      </c>
      <c r="C141" s="367"/>
      <c r="D141" s="367"/>
      <c r="E141" s="367">
        <v>1100</v>
      </c>
      <c r="F141" s="367">
        <f>300+800</f>
        <v>1100</v>
      </c>
      <c r="G141" s="367">
        <v>1300</v>
      </c>
      <c r="H141" s="367">
        <v>1400</v>
      </c>
    </row>
    <row r="142" spans="1:8" x14ac:dyDescent="0.25">
      <c r="A142" s="292">
        <v>32953</v>
      </c>
      <c r="B142" s="291" t="s">
        <v>450</v>
      </c>
      <c r="C142" s="367"/>
      <c r="D142" s="367"/>
      <c r="E142" s="367">
        <v>800</v>
      </c>
      <c r="F142" s="367">
        <f>50+750</f>
        <v>800</v>
      </c>
      <c r="G142" s="367">
        <v>900</v>
      </c>
      <c r="H142" s="367">
        <v>1000</v>
      </c>
    </row>
    <row r="143" spans="1:8" x14ac:dyDescent="0.25">
      <c r="A143" s="292">
        <v>32959</v>
      </c>
      <c r="B143" s="291" t="s">
        <v>448</v>
      </c>
      <c r="C143" s="367"/>
      <c r="D143" s="367"/>
      <c r="E143" s="367">
        <v>2450</v>
      </c>
      <c r="F143" s="367">
        <f>2000+450</f>
        <v>2450</v>
      </c>
      <c r="G143" s="367">
        <v>2750</v>
      </c>
      <c r="H143" s="367">
        <v>3050</v>
      </c>
    </row>
    <row r="144" spans="1:8" x14ac:dyDescent="0.25">
      <c r="A144" s="295">
        <v>3296</v>
      </c>
      <c r="B144" s="296" t="s">
        <v>148</v>
      </c>
      <c r="C144" s="368">
        <f>SUM(C145)</f>
        <v>0</v>
      </c>
      <c r="D144" s="368">
        <f>SUM(D145)</f>
        <v>0</v>
      </c>
      <c r="E144" s="368">
        <f>SUM(E145)</f>
        <v>4000</v>
      </c>
      <c r="F144" s="368">
        <f>SUM(F145)</f>
        <v>4000</v>
      </c>
      <c r="G144" s="368">
        <f t="shared" ref="G144:H144" si="47">SUM(G145)</f>
        <v>4500</v>
      </c>
      <c r="H144" s="368">
        <f t="shared" si="47"/>
        <v>5000</v>
      </c>
    </row>
    <row r="145" spans="1:8" x14ac:dyDescent="0.25">
      <c r="A145" s="292">
        <v>32961</v>
      </c>
      <c r="B145" s="291" t="s">
        <v>148</v>
      </c>
      <c r="C145" s="367"/>
      <c r="D145" s="367"/>
      <c r="E145" s="367">
        <v>4000</v>
      </c>
      <c r="F145" s="367">
        <v>4000</v>
      </c>
      <c r="G145" s="367">
        <v>4500</v>
      </c>
      <c r="H145" s="367">
        <v>5000</v>
      </c>
    </row>
    <row r="146" spans="1:8" x14ac:dyDescent="0.25">
      <c r="A146" s="295" t="s">
        <v>149</v>
      </c>
      <c r="B146" s="296" t="s">
        <v>141</v>
      </c>
      <c r="C146" s="368">
        <f>SUM(C147:C148)</f>
        <v>0</v>
      </c>
      <c r="D146" s="368">
        <f>SUM(D147:D148)</f>
        <v>0</v>
      </c>
      <c r="E146" s="368">
        <f>SUM(E147:E148)</f>
        <v>5720</v>
      </c>
      <c r="F146" s="368">
        <f>SUM(F147:F148)</f>
        <v>5720</v>
      </c>
      <c r="G146" s="368">
        <f t="shared" ref="G146:H146" si="48">SUM(G147:G148)</f>
        <v>6820</v>
      </c>
      <c r="H146" s="368">
        <f t="shared" si="48"/>
        <v>7920</v>
      </c>
    </row>
    <row r="147" spans="1:8" x14ac:dyDescent="0.25">
      <c r="A147" s="292">
        <v>32991</v>
      </c>
      <c r="B147" s="291" t="s">
        <v>451</v>
      </c>
      <c r="C147" s="367"/>
      <c r="D147" s="367"/>
      <c r="E147" s="367">
        <v>200</v>
      </c>
      <c r="F147" s="367">
        <v>200</v>
      </c>
      <c r="G147" s="367">
        <v>300</v>
      </c>
      <c r="H147" s="367">
        <v>400</v>
      </c>
    </row>
    <row r="148" spans="1:8" x14ac:dyDescent="0.25">
      <c r="A148" s="292">
        <v>32999</v>
      </c>
      <c r="B148" s="291" t="s">
        <v>141</v>
      </c>
      <c r="C148" s="367"/>
      <c r="D148" s="367"/>
      <c r="E148" s="367">
        <v>5520</v>
      </c>
      <c r="F148" s="367">
        <f>5500+20</f>
        <v>5520</v>
      </c>
      <c r="G148" s="367">
        <v>6520</v>
      </c>
      <c r="H148" s="367">
        <v>7520</v>
      </c>
    </row>
    <row r="149" spans="1:8" x14ac:dyDescent="0.25">
      <c r="A149" s="362">
        <v>34</v>
      </c>
      <c r="B149" s="363" t="s">
        <v>150</v>
      </c>
      <c r="C149" s="355">
        <f>C150</f>
        <v>0</v>
      </c>
      <c r="D149" s="355">
        <f>D150</f>
        <v>0</v>
      </c>
      <c r="E149" s="355">
        <f>E150</f>
        <v>25075</v>
      </c>
      <c r="F149" s="355">
        <f>F150</f>
        <v>25075</v>
      </c>
      <c r="G149" s="355">
        <f t="shared" ref="G149" si="49">G150</f>
        <v>24770</v>
      </c>
      <c r="H149" s="355">
        <f t="shared" ref="H149" si="50">H150</f>
        <v>25065</v>
      </c>
    </row>
    <row r="150" spans="1:8" s="329" customFormat="1" x14ac:dyDescent="0.25">
      <c r="A150" s="371">
        <v>343</v>
      </c>
      <c r="B150" s="372" t="s">
        <v>151</v>
      </c>
      <c r="C150" s="328">
        <f t="shared" ref="C150:H150" si="51">C151+C154+C155+C160</f>
        <v>0</v>
      </c>
      <c r="D150" s="328">
        <f t="shared" si="51"/>
        <v>0</v>
      </c>
      <c r="E150" s="328">
        <f t="shared" si="51"/>
        <v>25075</v>
      </c>
      <c r="F150" s="328">
        <f t="shared" si="51"/>
        <v>25075</v>
      </c>
      <c r="G150" s="328">
        <f t="shared" si="51"/>
        <v>24770</v>
      </c>
      <c r="H150" s="328">
        <f t="shared" si="51"/>
        <v>25065</v>
      </c>
    </row>
    <row r="151" spans="1:8" s="329" customFormat="1" x14ac:dyDescent="0.25">
      <c r="A151" s="371" t="s">
        <v>152</v>
      </c>
      <c r="B151" s="372" t="s">
        <v>153</v>
      </c>
      <c r="C151" s="328">
        <f t="shared" ref="C151:H151" si="52">SUM(C152:C153)</f>
        <v>0</v>
      </c>
      <c r="D151" s="328">
        <f t="shared" si="52"/>
        <v>0</v>
      </c>
      <c r="E151" s="328">
        <f t="shared" si="52"/>
        <v>23500</v>
      </c>
      <c r="F151" s="328">
        <f t="shared" si="52"/>
        <v>23500</v>
      </c>
      <c r="G151" s="328">
        <f t="shared" si="52"/>
        <v>23250</v>
      </c>
      <c r="H151" s="328">
        <f t="shared" si="52"/>
        <v>23500</v>
      </c>
    </row>
    <row r="152" spans="1:8" x14ac:dyDescent="0.25">
      <c r="A152" s="290">
        <v>34311</v>
      </c>
      <c r="B152" s="289" t="s">
        <v>623</v>
      </c>
      <c r="C152" s="351"/>
      <c r="D152" s="351"/>
      <c r="E152" s="351">
        <v>13000</v>
      </c>
      <c r="F152" s="351">
        <v>13000</v>
      </c>
      <c r="G152" s="351">
        <v>13000</v>
      </c>
      <c r="H152" s="351">
        <v>13000</v>
      </c>
    </row>
    <row r="153" spans="1:8" x14ac:dyDescent="0.25">
      <c r="A153" s="290">
        <v>34312</v>
      </c>
      <c r="B153" s="289" t="s">
        <v>453</v>
      </c>
      <c r="C153" s="367"/>
      <c r="D153" s="367"/>
      <c r="E153" s="367">
        <v>10500</v>
      </c>
      <c r="F153" s="367">
        <f>4500+6000</f>
        <v>10500</v>
      </c>
      <c r="G153" s="367">
        <v>10250</v>
      </c>
      <c r="H153" s="367">
        <v>10500</v>
      </c>
    </row>
    <row r="154" spans="1:8" x14ac:dyDescent="0.25">
      <c r="A154" s="371">
        <v>3432</v>
      </c>
      <c r="B154" s="372" t="s">
        <v>202</v>
      </c>
      <c r="C154" s="368"/>
      <c r="D154" s="368"/>
      <c r="E154" s="368"/>
      <c r="F154" s="368"/>
      <c r="G154" s="368"/>
      <c r="H154" s="368"/>
    </row>
    <row r="155" spans="1:8" x14ac:dyDescent="0.25">
      <c r="A155" s="295">
        <v>3433</v>
      </c>
      <c r="B155" s="296" t="s">
        <v>154</v>
      </c>
      <c r="C155" s="368">
        <f>SUM(C156:C159)</f>
        <v>0</v>
      </c>
      <c r="D155" s="368">
        <f>SUM(D156:D159)</f>
        <v>0</v>
      </c>
      <c r="E155" s="368">
        <f>SUM(E156:E159)</f>
        <v>1575</v>
      </c>
      <c r="F155" s="368">
        <f>SUM(F156:F159)</f>
        <v>1575</v>
      </c>
      <c r="G155" s="368">
        <f t="shared" ref="G155:H155" si="53">SUM(G156:G159)</f>
        <v>1520</v>
      </c>
      <c r="H155" s="368">
        <f t="shared" si="53"/>
        <v>1565</v>
      </c>
    </row>
    <row r="156" spans="1:8" x14ac:dyDescent="0.25">
      <c r="A156" s="290">
        <v>34331</v>
      </c>
      <c r="B156" s="289" t="s">
        <v>454</v>
      </c>
      <c r="C156" s="367"/>
      <c r="D156" s="367"/>
      <c r="E156" s="367">
        <v>25</v>
      </c>
      <c r="F156" s="367">
        <v>25</v>
      </c>
      <c r="G156" s="367">
        <v>30</v>
      </c>
      <c r="H156" s="367">
        <v>35</v>
      </c>
    </row>
    <row r="157" spans="1:8" x14ac:dyDescent="0.25">
      <c r="A157" s="290">
        <v>34332</v>
      </c>
      <c r="B157" s="289" t="s">
        <v>455</v>
      </c>
      <c r="C157" s="367"/>
      <c r="D157" s="367"/>
      <c r="E157" s="367">
        <v>350</v>
      </c>
      <c r="F157" s="367">
        <v>350</v>
      </c>
      <c r="G157" s="367">
        <v>350</v>
      </c>
      <c r="H157" s="367">
        <v>350</v>
      </c>
    </row>
    <row r="158" spans="1:8" x14ac:dyDescent="0.25">
      <c r="A158" s="290">
        <v>34333</v>
      </c>
      <c r="B158" s="289" t="s">
        <v>456</v>
      </c>
      <c r="C158" s="367"/>
      <c r="D158" s="367"/>
      <c r="E158" s="367">
        <v>600</v>
      </c>
      <c r="F158" s="367">
        <f>100+500</f>
        <v>600</v>
      </c>
      <c r="G158" s="367">
        <v>515</v>
      </c>
      <c r="H158" s="367">
        <v>530</v>
      </c>
    </row>
    <row r="159" spans="1:8" ht="15" customHeight="1" x14ac:dyDescent="0.25">
      <c r="A159" s="292">
        <v>34339</v>
      </c>
      <c r="B159" s="291" t="s">
        <v>457</v>
      </c>
      <c r="C159" s="367"/>
      <c r="D159" s="367"/>
      <c r="E159" s="367">
        <v>600</v>
      </c>
      <c r="F159" s="367">
        <v>600</v>
      </c>
      <c r="G159" s="367">
        <v>625</v>
      </c>
      <c r="H159" s="367">
        <v>650</v>
      </c>
    </row>
    <row r="160" spans="1:8" hidden="1" x14ac:dyDescent="0.25">
      <c r="A160" s="295">
        <v>3434</v>
      </c>
      <c r="B160" s="296" t="s">
        <v>297</v>
      </c>
      <c r="C160" s="368">
        <f>C161</f>
        <v>0</v>
      </c>
      <c r="D160" s="368">
        <f>D161</f>
        <v>0</v>
      </c>
      <c r="E160" s="368"/>
      <c r="F160" s="368">
        <f>F161</f>
        <v>0</v>
      </c>
      <c r="G160" s="368">
        <f>G161</f>
        <v>0</v>
      </c>
      <c r="H160" s="368">
        <f>H161</f>
        <v>0</v>
      </c>
    </row>
    <row r="161" spans="1:8" hidden="1" x14ac:dyDescent="0.25">
      <c r="A161" s="292">
        <v>34349</v>
      </c>
      <c r="B161" s="291" t="s">
        <v>297</v>
      </c>
      <c r="C161" s="367"/>
      <c r="D161" s="367"/>
      <c r="E161" s="367"/>
      <c r="F161" s="367"/>
      <c r="G161" s="367"/>
      <c r="H161" s="367"/>
    </row>
    <row r="162" spans="1:8" s="329" customFormat="1" x14ac:dyDescent="0.25">
      <c r="A162" s="377">
        <v>36</v>
      </c>
      <c r="B162" s="378" t="s">
        <v>298</v>
      </c>
      <c r="C162" s="379">
        <f t="shared" ref="C162:H163" si="54">C163</f>
        <v>0</v>
      </c>
      <c r="D162" s="379">
        <f t="shared" si="54"/>
        <v>0</v>
      </c>
      <c r="E162" s="379"/>
      <c r="F162" s="379">
        <f t="shared" si="54"/>
        <v>0</v>
      </c>
      <c r="G162" s="379">
        <f t="shared" si="54"/>
        <v>0</v>
      </c>
      <c r="H162" s="379">
        <f t="shared" si="54"/>
        <v>0</v>
      </c>
    </row>
    <row r="163" spans="1:8" s="329" customFormat="1" x14ac:dyDescent="0.25">
      <c r="A163" s="295">
        <v>369</v>
      </c>
      <c r="B163" s="296" t="s">
        <v>321</v>
      </c>
      <c r="C163" s="368">
        <f t="shared" si="54"/>
        <v>0</v>
      </c>
      <c r="D163" s="368">
        <f t="shared" si="54"/>
        <v>0</v>
      </c>
      <c r="E163" s="368"/>
      <c r="F163" s="368">
        <f t="shared" si="54"/>
        <v>0</v>
      </c>
      <c r="G163" s="368">
        <f t="shared" si="54"/>
        <v>0</v>
      </c>
      <c r="H163" s="368">
        <f t="shared" si="54"/>
        <v>0</v>
      </c>
    </row>
    <row r="164" spans="1:8" hidden="1" x14ac:dyDescent="0.25">
      <c r="A164" s="292">
        <v>3692</v>
      </c>
      <c r="B164" s="291" t="s">
        <v>322</v>
      </c>
      <c r="C164" s="367"/>
      <c r="D164" s="367"/>
      <c r="E164" s="367"/>
      <c r="F164" s="367"/>
      <c r="G164" s="367"/>
      <c r="H164" s="367"/>
    </row>
    <row r="165" spans="1:8" s="329" customFormat="1" x14ac:dyDescent="0.25">
      <c r="A165" s="377">
        <v>37</v>
      </c>
      <c r="B165" s="378" t="s">
        <v>323</v>
      </c>
      <c r="C165" s="355">
        <f t="shared" ref="C165:H166" si="55">C166</f>
        <v>0</v>
      </c>
      <c r="D165" s="355">
        <f t="shared" si="55"/>
        <v>0</v>
      </c>
      <c r="E165" s="355">
        <f t="shared" si="55"/>
        <v>1500</v>
      </c>
      <c r="F165" s="355">
        <f t="shared" si="55"/>
        <v>1500</v>
      </c>
      <c r="G165" s="355">
        <f t="shared" si="55"/>
        <v>1500</v>
      </c>
      <c r="H165" s="355">
        <f t="shared" si="55"/>
        <v>1500</v>
      </c>
    </row>
    <row r="166" spans="1:8" s="329" customFormat="1" x14ac:dyDescent="0.25">
      <c r="A166" s="295">
        <v>372</v>
      </c>
      <c r="B166" s="296" t="s">
        <v>160</v>
      </c>
      <c r="C166" s="328">
        <f t="shared" si="55"/>
        <v>0</v>
      </c>
      <c r="D166" s="328">
        <f t="shared" si="55"/>
        <v>0</v>
      </c>
      <c r="E166" s="328">
        <f t="shared" si="55"/>
        <v>1500</v>
      </c>
      <c r="F166" s="328">
        <f t="shared" si="55"/>
        <v>1500</v>
      </c>
      <c r="G166" s="328">
        <f t="shared" si="55"/>
        <v>1500</v>
      </c>
      <c r="H166" s="328">
        <f t="shared" si="55"/>
        <v>1500</v>
      </c>
    </row>
    <row r="167" spans="1:8" s="329" customFormat="1" x14ac:dyDescent="0.25">
      <c r="A167" s="295">
        <v>3721</v>
      </c>
      <c r="B167" s="296" t="s">
        <v>324</v>
      </c>
      <c r="C167" s="328">
        <f>SUM(C168:C169)</f>
        <v>0</v>
      </c>
      <c r="D167" s="328">
        <f>SUM(D168:D169)</f>
        <v>0</v>
      </c>
      <c r="E167" s="328">
        <f>SUM(E168:E169)</f>
        <v>1500</v>
      </c>
      <c r="F167" s="328">
        <f>SUM(F168:F169)</f>
        <v>1500</v>
      </c>
      <c r="G167" s="328">
        <f t="shared" ref="G167:H167" si="56">SUM(G168:G169)</f>
        <v>1500</v>
      </c>
      <c r="H167" s="328">
        <f t="shared" si="56"/>
        <v>1500</v>
      </c>
    </row>
    <row r="168" spans="1:8" s="329" customFormat="1" x14ac:dyDescent="0.25">
      <c r="A168" s="292">
        <v>37212</v>
      </c>
      <c r="B168" s="291" t="s">
        <v>507</v>
      </c>
      <c r="C168" s="351"/>
      <c r="D168" s="351"/>
      <c r="E168" s="351">
        <v>1000</v>
      </c>
      <c r="F168" s="351">
        <v>1000</v>
      </c>
      <c r="G168" s="351">
        <v>1000</v>
      </c>
      <c r="H168" s="351">
        <v>1000</v>
      </c>
    </row>
    <row r="169" spans="1:8" x14ac:dyDescent="0.25">
      <c r="A169" s="292">
        <v>37215</v>
      </c>
      <c r="B169" s="291" t="s">
        <v>459</v>
      </c>
      <c r="C169" s="367"/>
      <c r="D169" s="367"/>
      <c r="E169" s="367">
        <v>500</v>
      </c>
      <c r="F169" s="367">
        <v>500</v>
      </c>
      <c r="G169" s="367">
        <v>500</v>
      </c>
      <c r="H169" s="367">
        <v>500</v>
      </c>
    </row>
    <row r="170" spans="1:8" x14ac:dyDescent="0.25">
      <c r="A170" s="362" t="s">
        <v>162</v>
      </c>
      <c r="B170" s="363" t="s">
        <v>95</v>
      </c>
      <c r="C170" s="355">
        <f>C171+C173+C179</f>
        <v>0</v>
      </c>
      <c r="D170" s="355">
        <f>D171+D173+D179</f>
        <v>0</v>
      </c>
      <c r="E170" s="355">
        <f>E171+E173+E179</f>
        <v>2000</v>
      </c>
      <c r="F170" s="355">
        <f>F171+F173+F179</f>
        <v>2000</v>
      </c>
      <c r="G170" s="355">
        <f t="shared" ref="G170:H170" si="57">G171+G173+G179</f>
        <v>500</v>
      </c>
      <c r="H170" s="355">
        <f t="shared" si="57"/>
        <v>500</v>
      </c>
    </row>
    <row r="171" spans="1:8" s="329" customFormat="1" hidden="1" x14ac:dyDescent="0.25">
      <c r="A171" s="364" t="s">
        <v>163</v>
      </c>
      <c r="B171" s="380" t="s">
        <v>164</v>
      </c>
      <c r="C171" s="328">
        <f>C172</f>
        <v>0</v>
      </c>
      <c r="D171" s="328">
        <f>D172</f>
        <v>0</v>
      </c>
      <c r="E171" s="328">
        <f>E172</f>
        <v>0</v>
      </c>
      <c r="F171" s="328">
        <f>F172</f>
        <v>0</v>
      </c>
      <c r="G171" s="328">
        <f t="shared" ref="G171:H171" si="58">G172</f>
        <v>0</v>
      </c>
      <c r="H171" s="328">
        <f t="shared" si="58"/>
        <v>0</v>
      </c>
    </row>
    <row r="172" spans="1:8" hidden="1" x14ac:dyDescent="0.25">
      <c r="A172" s="364" t="s">
        <v>165</v>
      </c>
      <c r="B172" s="380" t="s">
        <v>164</v>
      </c>
      <c r="C172" s="368"/>
      <c r="D172" s="368"/>
      <c r="E172" s="368"/>
      <c r="F172" s="368"/>
      <c r="G172" s="368"/>
      <c r="H172" s="368"/>
    </row>
    <row r="173" spans="1:8" x14ac:dyDescent="0.25">
      <c r="A173" s="295">
        <v>383</v>
      </c>
      <c r="B173" s="296" t="s">
        <v>166</v>
      </c>
      <c r="C173" s="328">
        <f>C174+C175+C176+C178+C180</f>
        <v>0</v>
      </c>
      <c r="D173" s="328">
        <f>D174+D175+D176+D178+D180</f>
        <v>0</v>
      </c>
      <c r="E173" s="328">
        <f>E174+E175+E176+E178+E180</f>
        <v>2000</v>
      </c>
      <c r="F173" s="328">
        <f>F174+F175+F176+F178+F180</f>
        <v>2000</v>
      </c>
      <c r="G173" s="328">
        <f t="shared" ref="G173:H173" si="59">G174+G175+G176+G178+G180</f>
        <v>500</v>
      </c>
      <c r="H173" s="328">
        <f t="shared" si="59"/>
        <v>500</v>
      </c>
    </row>
    <row r="174" spans="1:8" hidden="1" x14ac:dyDescent="0.25">
      <c r="A174" s="295">
        <v>3831</v>
      </c>
      <c r="B174" s="296" t="s">
        <v>325</v>
      </c>
      <c r="C174" s="368"/>
      <c r="D174" s="368"/>
      <c r="E174" s="368"/>
      <c r="F174" s="368"/>
      <c r="G174" s="368"/>
      <c r="H174" s="368"/>
    </row>
    <row r="175" spans="1:8" s="342" customFormat="1" hidden="1" x14ac:dyDescent="0.25">
      <c r="A175" s="295">
        <v>3833</v>
      </c>
      <c r="B175" s="296" t="s">
        <v>168</v>
      </c>
      <c r="C175" s="368"/>
      <c r="D175" s="368"/>
      <c r="E175" s="368"/>
      <c r="F175" s="368"/>
      <c r="G175" s="368"/>
      <c r="H175" s="368"/>
    </row>
    <row r="176" spans="1:8" s="342" customFormat="1" x14ac:dyDescent="0.25">
      <c r="A176" s="295">
        <v>3834</v>
      </c>
      <c r="B176" s="296" t="s">
        <v>169</v>
      </c>
      <c r="C176" s="368">
        <f>SUM(C177)</f>
        <v>0</v>
      </c>
      <c r="D176" s="368">
        <f>SUM(D177)</f>
        <v>0</v>
      </c>
      <c r="E176" s="368">
        <f>SUM(E177)</f>
        <v>2000</v>
      </c>
      <c r="F176" s="368">
        <f>SUM(F177)</f>
        <v>2000</v>
      </c>
      <c r="G176" s="368">
        <f t="shared" ref="G176:H176" si="60">SUM(G177)</f>
        <v>500</v>
      </c>
      <c r="H176" s="368">
        <f t="shared" si="60"/>
        <v>500</v>
      </c>
    </row>
    <row r="177" spans="1:8" s="342" customFormat="1" x14ac:dyDescent="0.25">
      <c r="A177" s="292">
        <v>38341</v>
      </c>
      <c r="B177" s="291" t="s">
        <v>169</v>
      </c>
      <c r="C177" s="367"/>
      <c r="D177" s="367"/>
      <c r="E177" s="367">
        <v>2000</v>
      </c>
      <c r="F177" s="367">
        <f>1500+500</f>
        <v>2000</v>
      </c>
      <c r="G177" s="367">
        <v>500</v>
      </c>
      <c r="H177" s="367">
        <v>500</v>
      </c>
    </row>
    <row r="178" spans="1:8" s="342" customFormat="1" hidden="1" x14ac:dyDescent="0.25">
      <c r="A178" s="295">
        <v>3835</v>
      </c>
      <c r="B178" s="296" t="s">
        <v>170</v>
      </c>
      <c r="C178" s="368"/>
      <c r="D178" s="368"/>
      <c r="E178" s="368"/>
      <c r="F178" s="368"/>
      <c r="G178" s="368"/>
      <c r="H178" s="368"/>
    </row>
    <row r="179" spans="1:8" s="342" customFormat="1" hidden="1" x14ac:dyDescent="0.25">
      <c r="A179" s="295">
        <v>385</v>
      </c>
      <c r="B179" s="296" t="s">
        <v>304</v>
      </c>
      <c r="C179" s="368">
        <f>C180</f>
        <v>0</v>
      </c>
      <c r="D179" s="368">
        <f>D180</f>
        <v>0</v>
      </c>
      <c r="E179" s="368"/>
      <c r="F179" s="368">
        <f>F180</f>
        <v>0</v>
      </c>
      <c r="G179" s="368">
        <f t="shared" ref="G179:H179" si="61">G180</f>
        <v>0</v>
      </c>
      <c r="H179" s="368">
        <f t="shared" si="61"/>
        <v>0</v>
      </c>
    </row>
    <row r="180" spans="1:8" s="342" customFormat="1" hidden="1" x14ac:dyDescent="0.25">
      <c r="A180" s="295">
        <v>3859</v>
      </c>
      <c r="B180" s="296" t="s">
        <v>304</v>
      </c>
      <c r="C180" s="368"/>
      <c r="D180" s="368"/>
      <c r="E180" s="368"/>
      <c r="F180" s="368">
        <v>0</v>
      </c>
      <c r="G180" s="368">
        <v>0</v>
      </c>
      <c r="H180" s="368">
        <v>0</v>
      </c>
    </row>
    <row r="181" spans="1:8" s="329" customFormat="1" x14ac:dyDescent="0.25">
      <c r="A181" s="337">
        <v>4</v>
      </c>
      <c r="B181" s="338" t="s">
        <v>171</v>
      </c>
      <c r="C181" s="339">
        <f t="shared" ref="C181:H181" si="62">C182+C188+C210</f>
        <v>0</v>
      </c>
      <c r="D181" s="339">
        <f t="shared" si="62"/>
        <v>0</v>
      </c>
      <c r="E181" s="339">
        <f t="shared" si="62"/>
        <v>85372.28</v>
      </c>
      <c r="F181" s="339">
        <f t="shared" si="62"/>
        <v>85372.28</v>
      </c>
      <c r="G181" s="339">
        <f t="shared" si="62"/>
        <v>88322.28</v>
      </c>
      <c r="H181" s="339">
        <f t="shared" si="62"/>
        <v>91272.28</v>
      </c>
    </row>
    <row r="182" spans="1:8" x14ac:dyDescent="0.25">
      <c r="A182" s="362" t="s">
        <v>172</v>
      </c>
      <c r="B182" s="381" t="s">
        <v>173</v>
      </c>
      <c r="C182" s="355">
        <f>C183+C186</f>
        <v>0</v>
      </c>
      <c r="D182" s="355">
        <f>D183+D186</f>
        <v>0</v>
      </c>
      <c r="E182" s="355">
        <f>E183+E186</f>
        <v>0</v>
      </c>
      <c r="F182" s="355">
        <f>F183+F186</f>
        <v>0</v>
      </c>
      <c r="G182" s="355">
        <f t="shared" ref="G182:H182" si="63">G183+G186</f>
        <v>0</v>
      </c>
      <c r="H182" s="355">
        <f t="shared" si="63"/>
        <v>0</v>
      </c>
    </row>
    <row r="183" spans="1:8" hidden="1" x14ac:dyDescent="0.25">
      <c r="A183" s="364" t="s">
        <v>174</v>
      </c>
      <c r="B183" s="382" t="s">
        <v>175</v>
      </c>
      <c r="C183" s="328">
        <f>C184</f>
        <v>0</v>
      </c>
      <c r="D183" s="328">
        <f>D184</f>
        <v>0</v>
      </c>
      <c r="E183" s="328">
        <f>E184</f>
        <v>0</v>
      </c>
      <c r="F183" s="328">
        <f>F184</f>
        <v>0</v>
      </c>
      <c r="G183" s="328">
        <f t="shared" ref="G183:H183" si="64">G185</f>
        <v>0</v>
      </c>
      <c r="H183" s="328">
        <f t="shared" si="64"/>
        <v>0</v>
      </c>
    </row>
    <row r="184" spans="1:8" hidden="1" x14ac:dyDescent="0.25">
      <c r="A184" s="364" t="s">
        <v>176</v>
      </c>
      <c r="B184" s="382" t="s">
        <v>177</v>
      </c>
      <c r="C184" s="328">
        <f>SUM(C185)</f>
        <v>0</v>
      </c>
      <c r="D184" s="328">
        <f>SUM(D185)</f>
        <v>0</v>
      </c>
      <c r="E184" s="328">
        <f>SUM(E185)</f>
        <v>0</v>
      </c>
      <c r="F184" s="328">
        <f>SUM(F185)</f>
        <v>0</v>
      </c>
      <c r="G184" s="328">
        <f t="shared" ref="G184:H184" si="65">SUM(G185)</f>
        <v>0</v>
      </c>
      <c r="H184" s="328">
        <f t="shared" si="65"/>
        <v>0</v>
      </c>
    </row>
    <row r="185" spans="1:8" hidden="1" x14ac:dyDescent="0.25">
      <c r="A185" s="366" t="s">
        <v>508</v>
      </c>
      <c r="B185" s="383" t="s">
        <v>177</v>
      </c>
      <c r="C185" s="351"/>
      <c r="D185" s="351"/>
      <c r="E185" s="351"/>
      <c r="F185" s="351"/>
      <c r="G185" s="351"/>
      <c r="H185" s="351"/>
    </row>
    <row r="186" spans="1:8" s="329" customFormat="1" hidden="1" x14ac:dyDescent="0.25">
      <c r="A186" s="371">
        <v>412</v>
      </c>
      <c r="B186" s="384" t="s">
        <v>178</v>
      </c>
      <c r="C186" s="153">
        <f>C187</f>
        <v>0</v>
      </c>
      <c r="D186" s="153">
        <f>D187</f>
        <v>0</v>
      </c>
      <c r="E186" s="153">
        <f>E187</f>
        <v>0</v>
      </c>
      <c r="F186" s="153">
        <f>F187</f>
        <v>0</v>
      </c>
      <c r="G186" s="153">
        <f t="shared" ref="G186:H186" si="66">G187</f>
        <v>0</v>
      </c>
      <c r="H186" s="153">
        <f t="shared" si="66"/>
        <v>0</v>
      </c>
    </row>
    <row r="187" spans="1:8" s="343" customFormat="1" hidden="1" x14ac:dyDescent="0.25">
      <c r="A187" s="371">
        <v>4123</v>
      </c>
      <c r="B187" s="384" t="s">
        <v>179</v>
      </c>
      <c r="C187" s="368">
        <v>0</v>
      </c>
      <c r="D187" s="368">
        <v>0</v>
      </c>
      <c r="E187" s="368"/>
      <c r="F187" s="368">
        <v>0</v>
      </c>
      <c r="G187" s="368">
        <v>0</v>
      </c>
      <c r="H187" s="368">
        <v>0</v>
      </c>
    </row>
    <row r="188" spans="1:8" s="326" customFormat="1" x14ac:dyDescent="0.25">
      <c r="A188" s="362">
        <v>42</v>
      </c>
      <c r="B188" s="363" t="s">
        <v>180</v>
      </c>
      <c r="C188" s="355">
        <f t="shared" ref="C188:H188" si="67">C189+C205+C208</f>
        <v>0</v>
      </c>
      <c r="D188" s="355">
        <f t="shared" si="67"/>
        <v>0</v>
      </c>
      <c r="E188" s="355">
        <f t="shared" si="67"/>
        <v>75372.28</v>
      </c>
      <c r="F188" s="355">
        <f t="shared" si="67"/>
        <v>75372.28</v>
      </c>
      <c r="G188" s="355">
        <f t="shared" si="67"/>
        <v>78322.28</v>
      </c>
      <c r="H188" s="355">
        <f t="shared" si="67"/>
        <v>81272.28</v>
      </c>
    </row>
    <row r="189" spans="1:8" s="329" customFormat="1" x14ac:dyDescent="0.25">
      <c r="A189" s="364">
        <v>422</v>
      </c>
      <c r="B189" s="365" t="s">
        <v>181</v>
      </c>
      <c r="C189" s="328">
        <f t="shared" ref="C189:H189" si="68">C190+C194+C195+C198+C201+C203</f>
        <v>0</v>
      </c>
      <c r="D189" s="328">
        <f t="shared" si="68"/>
        <v>0</v>
      </c>
      <c r="E189" s="328">
        <f t="shared" si="68"/>
        <v>68650</v>
      </c>
      <c r="F189" s="328">
        <f t="shared" si="68"/>
        <v>68650</v>
      </c>
      <c r="G189" s="328">
        <f t="shared" si="68"/>
        <v>71600</v>
      </c>
      <c r="H189" s="328">
        <f t="shared" si="68"/>
        <v>74550</v>
      </c>
    </row>
    <row r="190" spans="1:8" s="329" customFormat="1" x14ac:dyDescent="0.25">
      <c r="A190" s="364" t="s">
        <v>182</v>
      </c>
      <c r="B190" s="365" t="s">
        <v>183</v>
      </c>
      <c r="C190" s="328">
        <f t="shared" ref="C190:H190" si="69">SUM(C191:C193)</f>
        <v>0</v>
      </c>
      <c r="D190" s="328">
        <f t="shared" si="69"/>
        <v>0</v>
      </c>
      <c r="E190" s="328">
        <f t="shared" si="69"/>
        <v>7800</v>
      </c>
      <c r="F190" s="328">
        <f t="shared" si="69"/>
        <v>7800</v>
      </c>
      <c r="G190" s="328">
        <f t="shared" si="69"/>
        <v>7800</v>
      </c>
      <c r="H190" s="328">
        <f t="shared" si="69"/>
        <v>7800</v>
      </c>
    </row>
    <row r="191" spans="1:8" s="329" customFormat="1" x14ac:dyDescent="0.25">
      <c r="A191" s="366">
        <v>42211</v>
      </c>
      <c r="B191" s="286" t="s">
        <v>460</v>
      </c>
      <c r="C191" s="351">
        <v>0</v>
      </c>
      <c r="D191" s="351"/>
      <c r="E191" s="351">
        <v>1000</v>
      </c>
      <c r="F191" s="351">
        <v>1000</v>
      </c>
      <c r="G191" s="351">
        <v>1000</v>
      </c>
      <c r="H191" s="351">
        <v>1000</v>
      </c>
    </row>
    <row r="192" spans="1:8" s="329" customFormat="1" x14ac:dyDescent="0.25">
      <c r="A192" s="366">
        <v>42212</v>
      </c>
      <c r="B192" s="286" t="s">
        <v>461</v>
      </c>
      <c r="C192" s="351">
        <v>0</v>
      </c>
      <c r="D192" s="351"/>
      <c r="E192" s="351">
        <v>6000</v>
      </c>
      <c r="F192" s="351">
        <v>6000</v>
      </c>
      <c r="G192" s="351">
        <v>6000</v>
      </c>
      <c r="H192" s="351">
        <v>6000</v>
      </c>
    </row>
    <row r="193" spans="1:8" x14ac:dyDescent="0.25">
      <c r="A193" s="366">
        <v>42219</v>
      </c>
      <c r="B193" s="286" t="s">
        <v>462</v>
      </c>
      <c r="C193" s="367">
        <v>0</v>
      </c>
      <c r="D193" s="367"/>
      <c r="E193" s="367">
        <v>800</v>
      </c>
      <c r="F193" s="367">
        <v>800</v>
      </c>
      <c r="G193" s="367">
        <v>800</v>
      </c>
      <c r="H193" s="367">
        <v>800</v>
      </c>
    </row>
    <row r="194" spans="1:8" hidden="1" x14ac:dyDescent="0.25">
      <c r="A194" s="364" t="s">
        <v>184</v>
      </c>
      <c r="B194" s="365" t="s">
        <v>185</v>
      </c>
      <c r="C194" s="368"/>
      <c r="D194" s="368"/>
      <c r="E194" s="368"/>
      <c r="F194" s="368"/>
      <c r="G194" s="368"/>
      <c r="H194" s="368"/>
    </row>
    <row r="195" spans="1:8" x14ac:dyDescent="0.25">
      <c r="A195" s="371">
        <v>4223</v>
      </c>
      <c r="B195" s="384" t="s">
        <v>307</v>
      </c>
      <c r="C195" s="368">
        <f t="shared" ref="C195:H195" si="70">SUM(C196:C197)</f>
        <v>0</v>
      </c>
      <c r="D195" s="368">
        <f t="shared" si="70"/>
        <v>0</v>
      </c>
      <c r="E195" s="368">
        <f t="shared" si="70"/>
        <v>7350</v>
      </c>
      <c r="F195" s="368">
        <f t="shared" si="70"/>
        <v>7350</v>
      </c>
      <c r="G195" s="368">
        <f t="shared" si="70"/>
        <v>7850</v>
      </c>
      <c r="H195" s="368">
        <f t="shared" si="70"/>
        <v>8350</v>
      </c>
    </row>
    <row r="196" spans="1:8" x14ac:dyDescent="0.25">
      <c r="A196" s="366">
        <v>42231</v>
      </c>
      <c r="B196" s="286" t="s">
        <v>464</v>
      </c>
      <c r="C196" s="367">
        <v>0</v>
      </c>
      <c r="D196" s="367"/>
      <c r="E196" s="367">
        <v>7000</v>
      </c>
      <c r="F196" s="367">
        <v>7000</v>
      </c>
      <c r="G196" s="367">
        <v>7500</v>
      </c>
      <c r="H196" s="367">
        <v>8000</v>
      </c>
    </row>
    <row r="197" spans="1:8" x14ac:dyDescent="0.25">
      <c r="A197" s="290">
        <v>42232</v>
      </c>
      <c r="B197" s="297" t="s">
        <v>463</v>
      </c>
      <c r="C197" s="367">
        <v>0</v>
      </c>
      <c r="D197" s="367"/>
      <c r="E197" s="367">
        <v>350</v>
      </c>
      <c r="F197" s="367">
        <v>350</v>
      </c>
      <c r="G197" s="367">
        <v>350</v>
      </c>
      <c r="H197" s="367">
        <v>350</v>
      </c>
    </row>
    <row r="198" spans="1:8" x14ac:dyDescent="0.25">
      <c r="A198" s="371">
        <v>4224</v>
      </c>
      <c r="B198" s="384" t="s">
        <v>187</v>
      </c>
      <c r="C198" s="368">
        <f>SUM(C199:C200)</f>
        <v>0</v>
      </c>
      <c r="D198" s="368">
        <f>SUM(D199:D200)</f>
        <v>0</v>
      </c>
      <c r="E198" s="368">
        <f>SUM(E199:E200)</f>
        <v>46500</v>
      </c>
      <c r="F198" s="368">
        <f>SUM(F199:F200)</f>
        <v>46500</v>
      </c>
      <c r="G198" s="368">
        <f t="shared" ref="G198:H198" si="71">SUM(G199:G200)</f>
        <v>48600</v>
      </c>
      <c r="H198" s="368">
        <f t="shared" si="71"/>
        <v>50700</v>
      </c>
    </row>
    <row r="199" spans="1:8" x14ac:dyDescent="0.25">
      <c r="A199" s="290">
        <v>42241</v>
      </c>
      <c r="B199" s="297" t="s">
        <v>465</v>
      </c>
      <c r="C199" s="367">
        <v>0</v>
      </c>
      <c r="D199" s="367"/>
      <c r="E199" s="367">
        <v>45000</v>
      </c>
      <c r="F199" s="367">
        <v>45000</v>
      </c>
      <c r="G199" s="367">
        <v>47000</v>
      </c>
      <c r="H199" s="367">
        <v>49000</v>
      </c>
    </row>
    <row r="200" spans="1:8" x14ac:dyDescent="0.25">
      <c r="A200" s="290">
        <v>42242</v>
      </c>
      <c r="B200" s="297" t="s">
        <v>466</v>
      </c>
      <c r="C200" s="367">
        <v>0</v>
      </c>
      <c r="D200" s="367"/>
      <c r="E200" s="367">
        <v>1500</v>
      </c>
      <c r="F200" s="367">
        <v>1500</v>
      </c>
      <c r="G200" s="367">
        <v>1600</v>
      </c>
      <c r="H200" s="367">
        <v>1700</v>
      </c>
    </row>
    <row r="201" spans="1:8" x14ac:dyDescent="0.25">
      <c r="A201" s="371">
        <v>4225</v>
      </c>
      <c r="B201" s="384" t="s">
        <v>586</v>
      </c>
      <c r="C201" s="368">
        <f>SUM(C202)</f>
        <v>0</v>
      </c>
      <c r="D201" s="368">
        <f>SUM(D202)</f>
        <v>0</v>
      </c>
      <c r="E201" s="368">
        <f>SUM(E202)</f>
        <v>5000</v>
      </c>
      <c r="F201" s="368">
        <f>SUM(F202)</f>
        <v>5000</v>
      </c>
      <c r="G201" s="368">
        <f t="shared" ref="G201:H201" si="72">SUM(G202)</f>
        <v>5150</v>
      </c>
      <c r="H201" s="368">
        <f t="shared" si="72"/>
        <v>5300</v>
      </c>
    </row>
    <row r="202" spans="1:8" s="343" customFormat="1" x14ac:dyDescent="0.25">
      <c r="A202" s="290">
        <v>42259</v>
      </c>
      <c r="B202" s="297" t="s">
        <v>564</v>
      </c>
      <c r="C202" s="367"/>
      <c r="D202" s="367"/>
      <c r="E202" s="367">
        <v>5000</v>
      </c>
      <c r="F202" s="367">
        <v>5000</v>
      </c>
      <c r="G202" s="367">
        <v>5150</v>
      </c>
      <c r="H202" s="367">
        <v>5300</v>
      </c>
    </row>
    <row r="203" spans="1:8" s="343" customFormat="1" x14ac:dyDescent="0.25">
      <c r="A203" s="371">
        <v>4227</v>
      </c>
      <c r="B203" s="384" t="s">
        <v>189</v>
      </c>
      <c r="C203" s="368">
        <f>SUM(C204)</f>
        <v>0</v>
      </c>
      <c r="D203" s="368">
        <f>SUM(D204)</f>
        <v>0</v>
      </c>
      <c r="E203" s="368">
        <f>SUM(E204)</f>
        <v>2000</v>
      </c>
      <c r="F203" s="368">
        <f>SUM(F204)</f>
        <v>2000</v>
      </c>
      <c r="G203" s="368">
        <f t="shared" ref="G203:H203" si="73">SUM(G204)</f>
        <v>2200</v>
      </c>
      <c r="H203" s="368">
        <f t="shared" si="73"/>
        <v>2400</v>
      </c>
    </row>
    <row r="204" spans="1:8" s="343" customFormat="1" x14ac:dyDescent="0.25">
      <c r="A204" s="290">
        <v>42273</v>
      </c>
      <c r="B204" s="297" t="s">
        <v>189</v>
      </c>
      <c r="C204" s="367">
        <v>0</v>
      </c>
      <c r="D204" s="367"/>
      <c r="E204" s="367">
        <v>2000</v>
      </c>
      <c r="F204" s="367">
        <v>2000</v>
      </c>
      <c r="G204" s="367">
        <v>2200</v>
      </c>
      <c r="H204" s="367">
        <v>2400</v>
      </c>
    </row>
    <row r="205" spans="1:8" s="340" customFormat="1" x14ac:dyDescent="0.25">
      <c r="A205" s="371">
        <v>423</v>
      </c>
      <c r="B205" s="384" t="s">
        <v>190</v>
      </c>
      <c r="C205" s="328">
        <f>C207</f>
        <v>0</v>
      </c>
      <c r="D205" s="328">
        <f>D207</f>
        <v>0</v>
      </c>
      <c r="E205" s="328">
        <f>E207</f>
        <v>6722.28</v>
      </c>
      <c r="F205" s="328">
        <f>F207</f>
        <v>6722.28</v>
      </c>
      <c r="G205" s="328">
        <f t="shared" ref="G205:H205" si="74">G207</f>
        <v>6722.28</v>
      </c>
      <c r="H205" s="328">
        <f t="shared" si="74"/>
        <v>6722.28</v>
      </c>
    </row>
    <row r="206" spans="1:8" s="340" customFormat="1" x14ac:dyDescent="0.25">
      <c r="A206" s="371">
        <v>4231</v>
      </c>
      <c r="B206" s="384" t="s">
        <v>80</v>
      </c>
      <c r="C206" s="328">
        <f>SUM(C207)</f>
        <v>0</v>
      </c>
      <c r="D206" s="328">
        <f>SUM(D207)</f>
        <v>0</v>
      </c>
      <c r="E206" s="328">
        <f>SUM(E207)</f>
        <v>6722.28</v>
      </c>
      <c r="F206" s="328">
        <f>SUM(F207)</f>
        <v>6722.28</v>
      </c>
      <c r="G206" s="328">
        <f t="shared" ref="G206:H206" si="75">SUM(G207)</f>
        <v>6722.28</v>
      </c>
      <c r="H206" s="328">
        <f t="shared" si="75"/>
        <v>6722.28</v>
      </c>
    </row>
    <row r="207" spans="1:8" s="343" customFormat="1" x14ac:dyDescent="0.25">
      <c r="A207" s="290">
        <v>42311</v>
      </c>
      <c r="B207" s="297" t="s">
        <v>467</v>
      </c>
      <c r="C207" s="367">
        <v>0</v>
      </c>
      <c r="D207" s="367"/>
      <c r="E207" s="367">
        <v>6722.28</v>
      </c>
      <c r="F207" s="367">
        <v>6722.28</v>
      </c>
      <c r="G207" s="367">
        <v>6722.28</v>
      </c>
      <c r="H207" s="367">
        <v>6722.28</v>
      </c>
    </row>
    <row r="208" spans="1:8" s="340" customFormat="1" hidden="1" x14ac:dyDescent="0.25">
      <c r="A208" s="371">
        <v>426</v>
      </c>
      <c r="B208" s="236" t="s">
        <v>191</v>
      </c>
      <c r="C208" s="153">
        <f>C209</f>
        <v>0</v>
      </c>
      <c r="D208" s="153">
        <f>D209</f>
        <v>0</v>
      </c>
      <c r="E208" s="153"/>
      <c r="F208" s="153">
        <f>F209</f>
        <v>0</v>
      </c>
      <c r="G208" s="153">
        <f t="shared" ref="G208:H208" si="76">G209</f>
        <v>0</v>
      </c>
      <c r="H208" s="153">
        <f t="shared" si="76"/>
        <v>0</v>
      </c>
    </row>
    <row r="209" spans="1:8" s="343" customFormat="1" hidden="1" x14ac:dyDescent="0.25">
      <c r="A209" s="371">
        <v>4262</v>
      </c>
      <c r="B209" s="236" t="s">
        <v>192</v>
      </c>
      <c r="C209" s="328"/>
      <c r="D209" s="328"/>
      <c r="E209" s="328"/>
      <c r="F209" s="328"/>
      <c r="G209" s="328"/>
      <c r="H209" s="328"/>
    </row>
    <row r="210" spans="1:8" s="344" customFormat="1" x14ac:dyDescent="0.25">
      <c r="A210" s="362" t="s">
        <v>193</v>
      </c>
      <c r="B210" s="381" t="s">
        <v>196</v>
      </c>
      <c r="C210" s="355">
        <f>C211+C214</f>
        <v>0</v>
      </c>
      <c r="D210" s="355">
        <f>D211+D214</f>
        <v>0</v>
      </c>
      <c r="E210" s="355">
        <f>E211+E214</f>
        <v>10000</v>
      </c>
      <c r="F210" s="355">
        <f>F211+F214</f>
        <v>10000</v>
      </c>
      <c r="G210" s="355">
        <f t="shared" ref="G210:H210" si="77">G211+G214</f>
        <v>10000</v>
      </c>
      <c r="H210" s="355">
        <f t="shared" si="77"/>
        <v>10000</v>
      </c>
    </row>
    <row r="211" spans="1:8" s="329" customFormat="1" x14ac:dyDescent="0.25">
      <c r="A211" s="364" t="s">
        <v>195</v>
      </c>
      <c r="B211" s="365" t="s">
        <v>204</v>
      </c>
      <c r="C211" s="328">
        <f>C212</f>
        <v>0</v>
      </c>
      <c r="D211" s="328">
        <f>D212</f>
        <v>0</v>
      </c>
      <c r="E211" s="328">
        <f>E212</f>
        <v>10000</v>
      </c>
      <c r="F211" s="328">
        <f>F212</f>
        <v>10000</v>
      </c>
      <c r="G211" s="328">
        <f t="shared" ref="G211:H211" si="78">G212</f>
        <v>10000</v>
      </c>
      <c r="H211" s="328">
        <f t="shared" si="78"/>
        <v>10000</v>
      </c>
    </row>
    <row r="212" spans="1:8" s="329" customFormat="1" x14ac:dyDescent="0.25">
      <c r="A212" s="364" t="s">
        <v>197</v>
      </c>
      <c r="B212" s="365" t="s">
        <v>196</v>
      </c>
      <c r="C212" s="328">
        <f>SUM(C213)</f>
        <v>0</v>
      </c>
      <c r="D212" s="328">
        <f>SUM(D213)</f>
        <v>0</v>
      </c>
      <c r="E212" s="328">
        <f>SUM(E213)</f>
        <v>10000</v>
      </c>
      <c r="F212" s="328">
        <f>SUM(F213)</f>
        <v>10000</v>
      </c>
      <c r="G212" s="328">
        <f t="shared" ref="G212:H212" si="79">SUM(G213)</f>
        <v>10000</v>
      </c>
      <c r="H212" s="328">
        <f t="shared" si="79"/>
        <v>10000</v>
      </c>
    </row>
    <row r="213" spans="1:8" s="342" customFormat="1" x14ac:dyDescent="0.25">
      <c r="A213" s="366" t="s">
        <v>509</v>
      </c>
      <c r="B213" s="286" t="s">
        <v>196</v>
      </c>
      <c r="C213" s="367"/>
      <c r="D213" s="367"/>
      <c r="E213" s="367">
        <v>10000</v>
      </c>
      <c r="F213" s="367">
        <v>10000</v>
      </c>
      <c r="G213" s="367">
        <v>10000</v>
      </c>
      <c r="H213" s="367">
        <v>10000</v>
      </c>
    </row>
    <row r="214" spans="1:8" s="345" customFormat="1" hidden="1" x14ac:dyDescent="0.25">
      <c r="A214" s="364" t="s">
        <v>198</v>
      </c>
      <c r="B214" s="365" t="s">
        <v>199</v>
      </c>
      <c r="C214" s="385">
        <f>C215</f>
        <v>0</v>
      </c>
      <c r="D214" s="385">
        <f>D215</f>
        <v>0</v>
      </c>
      <c r="E214" s="385"/>
      <c r="F214" s="385">
        <f>F215</f>
        <v>0</v>
      </c>
      <c r="G214" s="385">
        <f t="shared" ref="G214:H214" si="80">G215</f>
        <v>0</v>
      </c>
      <c r="H214" s="385">
        <f t="shared" si="80"/>
        <v>0</v>
      </c>
    </row>
    <row r="215" spans="1:8" s="346" customFormat="1" hidden="1" x14ac:dyDescent="0.25">
      <c r="A215" s="364" t="s">
        <v>200</v>
      </c>
      <c r="B215" s="365" t="s">
        <v>199</v>
      </c>
      <c r="C215" s="385"/>
      <c r="D215" s="385"/>
      <c r="E215" s="385"/>
      <c r="F215" s="385"/>
      <c r="G215" s="385"/>
      <c r="H215" s="385"/>
    </row>
    <row r="216" spans="1:8" s="347" customFormat="1" x14ac:dyDescent="0.25">
      <c r="A216" s="386" t="s">
        <v>66</v>
      </c>
      <c r="B216" s="387" t="s">
        <v>207</v>
      </c>
      <c r="C216" s="335">
        <f t="shared" ref="C216:H216" si="81">C217+C331</f>
        <v>0</v>
      </c>
      <c r="D216" s="335">
        <f t="shared" si="81"/>
        <v>0</v>
      </c>
      <c r="E216" s="335">
        <f t="shared" si="81"/>
        <v>3804916.33</v>
      </c>
      <c r="F216" s="335">
        <f t="shared" si="81"/>
        <v>3804916.33</v>
      </c>
      <c r="G216" s="335">
        <f t="shared" si="81"/>
        <v>3850540.33</v>
      </c>
      <c r="H216" s="335">
        <f t="shared" si="81"/>
        <v>3882388.81</v>
      </c>
    </row>
    <row r="217" spans="1:8" s="347" customFormat="1" x14ac:dyDescent="0.25">
      <c r="A217" s="388" t="s">
        <v>83</v>
      </c>
      <c r="B217" s="338" t="s">
        <v>84</v>
      </c>
      <c r="C217" s="339">
        <f>C218+C237+C311+C319+C322</f>
        <v>0</v>
      </c>
      <c r="D217" s="339">
        <f t="shared" ref="D217:H217" si="82">D218+D237+D311+D319+D322</f>
        <v>0</v>
      </c>
      <c r="E217" s="339">
        <f t="shared" ref="E217" si="83">E218+E237+E311+E319+E322</f>
        <v>3804916.33</v>
      </c>
      <c r="F217" s="339">
        <f t="shared" si="82"/>
        <v>3804916.33</v>
      </c>
      <c r="G217" s="339">
        <f t="shared" si="82"/>
        <v>3850540.33</v>
      </c>
      <c r="H217" s="339">
        <f t="shared" si="82"/>
        <v>3882388.81</v>
      </c>
    </row>
    <row r="218" spans="1:8" s="347" customFormat="1" x14ac:dyDescent="0.25">
      <c r="A218" s="362">
        <v>31</v>
      </c>
      <c r="B218" s="363" t="s">
        <v>85</v>
      </c>
      <c r="C218" s="355">
        <f>C219+C226+C234</f>
        <v>0</v>
      </c>
      <c r="D218" s="355">
        <f>D219+D226+D234</f>
        <v>0</v>
      </c>
      <c r="E218" s="355">
        <f>E219+E226+E234</f>
        <v>1338150.7</v>
      </c>
      <c r="F218" s="355">
        <f>F219+F226+F234</f>
        <v>1338150.7</v>
      </c>
      <c r="G218" s="355">
        <f t="shared" ref="G218:H218" si="84">G219+G226+G234</f>
        <v>1363555.1500000001</v>
      </c>
      <c r="H218" s="355">
        <f t="shared" si="84"/>
        <v>1389467.6900000002</v>
      </c>
    </row>
    <row r="219" spans="1:8" s="347" customFormat="1" x14ac:dyDescent="0.25">
      <c r="A219" s="364">
        <v>311</v>
      </c>
      <c r="B219" s="365" t="s">
        <v>86</v>
      </c>
      <c r="C219" s="328">
        <f>C220+C222+C223+C224</f>
        <v>0</v>
      </c>
      <c r="D219" s="328">
        <f>D220+D222+D223+D224</f>
        <v>0</v>
      </c>
      <c r="E219" s="328">
        <f>E220+E222+E223+E224</f>
        <v>942112.26</v>
      </c>
      <c r="F219" s="328">
        <f>F220+F222+F223+F224</f>
        <v>942112.26</v>
      </c>
      <c r="G219" s="328">
        <f t="shared" ref="G219:H219" si="85">G220+G222+G223+G224</f>
        <v>951512.26</v>
      </c>
      <c r="H219" s="328">
        <f t="shared" si="85"/>
        <v>959232.56</v>
      </c>
    </row>
    <row r="220" spans="1:8" s="347" customFormat="1" x14ac:dyDescent="0.25">
      <c r="A220" s="364">
        <v>3111</v>
      </c>
      <c r="B220" s="365" t="s">
        <v>87</v>
      </c>
      <c r="C220" s="328">
        <f>SUM(C221)</f>
        <v>0</v>
      </c>
      <c r="D220" s="328">
        <f>SUM(D221)</f>
        <v>0</v>
      </c>
      <c r="E220" s="328">
        <f>SUM(E221)</f>
        <v>942112.26</v>
      </c>
      <c r="F220" s="328">
        <f>SUM(F221)</f>
        <v>942112.26</v>
      </c>
      <c r="G220" s="328">
        <f t="shared" ref="G220:H220" si="86">SUM(G221)</f>
        <v>951512.26</v>
      </c>
      <c r="H220" s="328">
        <f t="shared" si="86"/>
        <v>959232.56</v>
      </c>
    </row>
    <row r="221" spans="1:8" s="348" customFormat="1" x14ac:dyDescent="0.25">
      <c r="A221" s="366" t="s">
        <v>480</v>
      </c>
      <c r="B221" s="286" t="s">
        <v>87</v>
      </c>
      <c r="C221" s="367"/>
      <c r="D221" s="367"/>
      <c r="E221" s="367">
        <v>942112.26</v>
      </c>
      <c r="F221" s="367">
        <f>56139.76+885972.5</f>
        <v>942112.26</v>
      </c>
      <c r="G221" s="367">
        <v>951512.26</v>
      </c>
      <c r="H221" s="367">
        <v>959232.56</v>
      </c>
    </row>
    <row r="222" spans="1:8" s="348" customFormat="1" hidden="1" x14ac:dyDescent="0.25">
      <c r="A222" s="364" t="s">
        <v>88</v>
      </c>
      <c r="B222" s="365" t="s">
        <v>89</v>
      </c>
      <c r="C222" s="368"/>
      <c r="D222" s="368"/>
      <c r="E222" s="368"/>
      <c r="F222" s="368"/>
      <c r="G222" s="368"/>
      <c r="H222" s="368"/>
    </row>
    <row r="223" spans="1:8" s="348" customFormat="1" hidden="1" x14ac:dyDescent="0.25">
      <c r="A223" s="364" t="s">
        <v>90</v>
      </c>
      <c r="B223" s="365" t="s">
        <v>91</v>
      </c>
      <c r="C223" s="368"/>
      <c r="D223" s="368"/>
      <c r="E223" s="368"/>
      <c r="F223" s="368"/>
      <c r="G223" s="368"/>
      <c r="H223" s="368"/>
    </row>
    <row r="224" spans="1:8" s="348" customFormat="1" hidden="1" x14ac:dyDescent="0.25">
      <c r="A224" s="364" t="s">
        <v>92</v>
      </c>
      <c r="B224" s="365" t="s">
        <v>208</v>
      </c>
      <c r="C224" s="368">
        <f>SUM(C225)</f>
        <v>0</v>
      </c>
      <c r="D224" s="368">
        <f>SUM(D225)</f>
        <v>0</v>
      </c>
      <c r="E224" s="368"/>
      <c r="F224" s="368">
        <f>SUM(F225)</f>
        <v>0</v>
      </c>
      <c r="G224" s="368">
        <f t="shared" ref="G224:H224" si="87">SUM(G225)</f>
        <v>0</v>
      </c>
      <c r="H224" s="368">
        <f t="shared" si="87"/>
        <v>0</v>
      </c>
    </row>
    <row r="225" spans="1:8" s="348" customFormat="1" hidden="1" x14ac:dyDescent="0.25">
      <c r="A225" s="366" t="s">
        <v>483</v>
      </c>
      <c r="B225" s="286" t="s">
        <v>208</v>
      </c>
      <c r="C225" s="367">
        <v>0</v>
      </c>
      <c r="D225" s="367">
        <v>0</v>
      </c>
      <c r="E225" s="367"/>
      <c r="F225" s="367">
        <v>0</v>
      </c>
      <c r="G225" s="367">
        <v>0</v>
      </c>
      <c r="H225" s="367">
        <v>0</v>
      </c>
    </row>
    <row r="226" spans="1:8" s="347" customFormat="1" x14ac:dyDescent="0.25">
      <c r="A226" s="364" t="s">
        <v>94</v>
      </c>
      <c r="B226" s="365" t="s">
        <v>95</v>
      </c>
      <c r="C226" s="328">
        <f>C227</f>
        <v>0</v>
      </c>
      <c r="D226" s="328">
        <f>D227</f>
        <v>0</v>
      </c>
      <c r="E226" s="328">
        <f>E227</f>
        <v>158231.67999999999</v>
      </c>
      <c r="F226" s="328">
        <f>F227</f>
        <v>158231.67999999999</v>
      </c>
      <c r="G226" s="328">
        <f t="shared" ref="G226:H226" si="88">G227</f>
        <v>163186.13</v>
      </c>
      <c r="H226" s="328">
        <f t="shared" si="88"/>
        <v>168278.37</v>
      </c>
    </row>
    <row r="227" spans="1:8" s="347" customFormat="1" x14ac:dyDescent="0.25">
      <c r="A227" s="364" t="s">
        <v>96</v>
      </c>
      <c r="B227" s="365" t="s">
        <v>95</v>
      </c>
      <c r="C227" s="328">
        <f t="shared" ref="C227:H227" si="89">SUM(C228:C233)</f>
        <v>0</v>
      </c>
      <c r="D227" s="328">
        <f t="shared" si="89"/>
        <v>0</v>
      </c>
      <c r="E227" s="328">
        <f t="shared" si="89"/>
        <v>158231.67999999999</v>
      </c>
      <c r="F227" s="328">
        <f t="shared" si="89"/>
        <v>158231.67999999999</v>
      </c>
      <c r="G227" s="328">
        <f t="shared" si="89"/>
        <v>163186.13</v>
      </c>
      <c r="H227" s="328">
        <f t="shared" si="89"/>
        <v>168278.37</v>
      </c>
    </row>
    <row r="228" spans="1:8" s="348" customFormat="1" x14ac:dyDescent="0.25">
      <c r="A228" s="366" t="s">
        <v>485</v>
      </c>
      <c r="B228" s="286" t="s">
        <v>400</v>
      </c>
      <c r="C228" s="351"/>
      <c r="D228" s="351"/>
      <c r="E228" s="351">
        <v>9700</v>
      </c>
      <c r="F228" s="351">
        <v>9700</v>
      </c>
      <c r="G228" s="351">
        <v>9950</v>
      </c>
      <c r="H228" s="351">
        <v>10250</v>
      </c>
    </row>
    <row r="229" spans="1:8" s="348" customFormat="1" x14ac:dyDescent="0.25">
      <c r="A229" s="366" t="s">
        <v>486</v>
      </c>
      <c r="B229" s="286" t="s">
        <v>399</v>
      </c>
      <c r="C229" s="351"/>
      <c r="D229" s="351"/>
      <c r="E229" s="351">
        <v>16000</v>
      </c>
      <c r="F229" s="351">
        <v>16000</v>
      </c>
      <c r="G229" s="351">
        <v>16500</v>
      </c>
      <c r="H229" s="351">
        <v>17000</v>
      </c>
    </row>
    <row r="230" spans="1:8" s="348" customFormat="1" x14ac:dyDescent="0.25">
      <c r="A230" s="366" t="s">
        <v>487</v>
      </c>
      <c r="B230" s="286" t="s">
        <v>401</v>
      </c>
      <c r="C230" s="351"/>
      <c r="D230" s="351"/>
      <c r="E230" s="351">
        <v>10000</v>
      </c>
      <c r="F230" s="351">
        <v>10000</v>
      </c>
      <c r="G230" s="351">
        <v>11000</v>
      </c>
      <c r="H230" s="351">
        <v>12000</v>
      </c>
    </row>
    <row r="231" spans="1:8" s="348" customFormat="1" x14ac:dyDescent="0.25">
      <c r="A231" s="366" t="s">
        <v>488</v>
      </c>
      <c r="B231" s="286" t="s">
        <v>402</v>
      </c>
      <c r="C231" s="351"/>
      <c r="D231" s="351"/>
      <c r="E231" s="351">
        <v>45150</v>
      </c>
      <c r="F231" s="351">
        <v>45150</v>
      </c>
      <c r="G231" s="351">
        <v>46150</v>
      </c>
      <c r="H231" s="351">
        <v>47150</v>
      </c>
    </row>
    <row r="232" spans="1:8" s="347" customFormat="1" x14ac:dyDescent="0.25">
      <c r="A232" s="366" t="s">
        <v>624</v>
      </c>
      <c r="B232" s="286" t="s">
        <v>625</v>
      </c>
      <c r="C232" s="351"/>
      <c r="D232" s="351"/>
      <c r="E232" s="351">
        <v>63400</v>
      </c>
      <c r="F232" s="351">
        <v>63400</v>
      </c>
      <c r="G232" s="351">
        <v>64600</v>
      </c>
      <c r="H232" s="351">
        <v>65880</v>
      </c>
    </row>
    <row r="233" spans="1:8" s="348" customFormat="1" x14ac:dyDescent="0.25">
      <c r="A233" s="366" t="s">
        <v>489</v>
      </c>
      <c r="B233" s="286" t="s">
        <v>397</v>
      </c>
      <c r="C233" s="367"/>
      <c r="D233" s="367"/>
      <c r="E233" s="367">
        <v>13981.68</v>
      </c>
      <c r="F233" s="367">
        <f>10000+3981.68</f>
        <v>13981.68</v>
      </c>
      <c r="G233" s="367">
        <v>14986.13</v>
      </c>
      <c r="H233" s="367">
        <v>15998.37</v>
      </c>
    </row>
    <row r="234" spans="1:8" s="347" customFormat="1" x14ac:dyDescent="0.25">
      <c r="A234" s="369">
        <v>313</v>
      </c>
      <c r="B234" s="365" t="s">
        <v>97</v>
      </c>
      <c r="C234" s="328">
        <f>C235</f>
        <v>0</v>
      </c>
      <c r="D234" s="328">
        <f>D235</f>
        <v>0</v>
      </c>
      <c r="E234" s="328">
        <f>E235</f>
        <v>237806.76</v>
      </c>
      <c r="F234" s="328">
        <f>F235</f>
        <v>237806.76</v>
      </c>
      <c r="G234" s="328">
        <f t="shared" ref="G234:H234" si="90">G235</f>
        <v>248856.76</v>
      </c>
      <c r="H234" s="328">
        <f t="shared" si="90"/>
        <v>261956.76</v>
      </c>
    </row>
    <row r="235" spans="1:8" s="347" customFormat="1" x14ac:dyDescent="0.25">
      <c r="A235" s="369">
        <v>3132</v>
      </c>
      <c r="B235" s="365" t="s">
        <v>98</v>
      </c>
      <c r="C235" s="328">
        <f>SUM(C236)</f>
        <v>0</v>
      </c>
      <c r="D235" s="328">
        <f>SUM(D236)</f>
        <v>0</v>
      </c>
      <c r="E235" s="328">
        <f>SUM(E236)</f>
        <v>237806.76</v>
      </c>
      <c r="F235" s="328">
        <f>SUM(F236)</f>
        <v>237806.76</v>
      </c>
      <c r="G235" s="328">
        <f t="shared" ref="G235:H235" si="91">SUM(G236)</f>
        <v>248856.76</v>
      </c>
      <c r="H235" s="328">
        <f t="shared" si="91"/>
        <v>261956.76</v>
      </c>
    </row>
    <row r="236" spans="1:8" s="348" customFormat="1" x14ac:dyDescent="0.25">
      <c r="A236" s="370" t="s">
        <v>490</v>
      </c>
      <c r="B236" s="286" t="s">
        <v>98</v>
      </c>
      <c r="C236" s="367"/>
      <c r="D236" s="367"/>
      <c r="E236" s="367">
        <v>237806.76</v>
      </c>
      <c r="F236" s="367">
        <f>230000+7806.76</f>
        <v>237806.76</v>
      </c>
      <c r="G236" s="367">
        <v>248856.76</v>
      </c>
      <c r="H236" s="367">
        <v>261956.76</v>
      </c>
    </row>
    <row r="237" spans="1:8" s="347" customFormat="1" x14ac:dyDescent="0.25">
      <c r="A237" s="362">
        <v>32</v>
      </c>
      <c r="B237" s="363" t="s">
        <v>99</v>
      </c>
      <c r="C237" s="355">
        <f t="shared" ref="C237:H237" si="92">C238+C251+C265+C291+C299</f>
        <v>0</v>
      </c>
      <c r="D237" s="355">
        <f t="shared" si="92"/>
        <v>0</v>
      </c>
      <c r="E237" s="355">
        <f t="shared" si="92"/>
        <v>2458865.63</v>
      </c>
      <c r="F237" s="355">
        <f t="shared" si="92"/>
        <v>2458865.63</v>
      </c>
      <c r="G237" s="355">
        <f t="shared" si="92"/>
        <v>2478927.1799999997</v>
      </c>
      <c r="H237" s="355">
        <f t="shared" si="92"/>
        <v>2484701.96</v>
      </c>
    </row>
    <row r="238" spans="1:8" s="347" customFormat="1" x14ac:dyDescent="0.25">
      <c r="A238" s="364" t="s">
        <v>212</v>
      </c>
      <c r="B238" s="380" t="s">
        <v>100</v>
      </c>
      <c r="C238" s="328">
        <f t="shared" ref="C238:H238" si="93">C239+C244+C247+C250</f>
        <v>0</v>
      </c>
      <c r="D238" s="328">
        <f t="shared" si="93"/>
        <v>0</v>
      </c>
      <c r="E238" s="328">
        <f t="shared" si="93"/>
        <v>141199.5</v>
      </c>
      <c r="F238" s="328">
        <f t="shared" si="93"/>
        <v>141199.5</v>
      </c>
      <c r="G238" s="328">
        <f t="shared" si="93"/>
        <v>143653.64999999997</v>
      </c>
      <c r="H238" s="328">
        <f t="shared" si="93"/>
        <v>146128.43</v>
      </c>
    </row>
    <row r="239" spans="1:8" s="347" customFormat="1" x14ac:dyDescent="0.25">
      <c r="A239" s="364" t="s">
        <v>101</v>
      </c>
      <c r="B239" s="380" t="s">
        <v>102</v>
      </c>
      <c r="C239" s="328">
        <f t="shared" ref="C239:H239" si="94">SUM(C240:C243)</f>
        <v>0</v>
      </c>
      <c r="D239" s="328">
        <f t="shared" si="94"/>
        <v>0</v>
      </c>
      <c r="E239" s="328">
        <f t="shared" si="94"/>
        <v>9263.61</v>
      </c>
      <c r="F239" s="328">
        <f t="shared" si="94"/>
        <v>9263.61</v>
      </c>
      <c r="G239" s="328">
        <f t="shared" si="94"/>
        <v>9463.61</v>
      </c>
      <c r="H239" s="328">
        <f t="shared" si="94"/>
        <v>9663.61</v>
      </c>
    </row>
    <row r="240" spans="1:8" s="348" customFormat="1" x14ac:dyDescent="0.25">
      <c r="A240" s="366">
        <v>32111</v>
      </c>
      <c r="B240" s="389" t="s">
        <v>403</v>
      </c>
      <c r="C240" s="351"/>
      <c r="D240" s="351"/>
      <c r="E240" s="351">
        <v>6500</v>
      </c>
      <c r="F240" s="351">
        <v>6500</v>
      </c>
      <c r="G240" s="351">
        <v>6700</v>
      </c>
      <c r="H240" s="351">
        <v>6900</v>
      </c>
    </row>
    <row r="241" spans="1:8" s="348" customFormat="1" x14ac:dyDescent="0.25">
      <c r="A241" s="366">
        <v>32113</v>
      </c>
      <c r="B241" s="389" t="s">
        <v>405</v>
      </c>
      <c r="C241" s="351"/>
      <c r="D241" s="351"/>
      <c r="E241" s="351">
        <v>1000</v>
      </c>
      <c r="F241" s="351">
        <v>1000</v>
      </c>
      <c r="G241" s="351">
        <v>1000</v>
      </c>
      <c r="H241" s="351">
        <v>1000</v>
      </c>
    </row>
    <row r="242" spans="1:8" s="348" customFormat="1" x14ac:dyDescent="0.25">
      <c r="A242" s="366">
        <v>32115</v>
      </c>
      <c r="B242" s="389" t="s">
        <v>406</v>
      </c>
      <c r="C242" s="367"/>
      <c r="D242" s="367"/>
      <c r="E242" s="367">
        <v>763.61</v>
      </c>
      <c r="F242" s="367">
        <f>100+663.61</f>
        <v>763.61</v>
      </c>
      <c r="G242" s="367">
        <f t="shared" ref="G242:H242" si="95">100+663.61</f>
        <v>763.61</v>
      </c>
      <c r="H242" s="367">
        <f t="shared" si="95"/>
        <v>763.61</v>
      </c>
    </row>
    <row r="243" spans="1:8" s="348" customFormat="1" x14ac:dyDescent="0.25">
      <c r="A243" s="366" t="s">
        <v>587</v>
      </c>
      <c r="B243" s="389" t="s">
        <v>588</v>
      </c>
      <c r="C243" s="367"/>
      <c r="D243" s="367"/>
      <c r="E243" s="367">
        <v>1000</v>
      </c>
      <c r="F243" s="367">
        <v>1000</v>
      </c>
      <c r="G243" s="367">
        <v>1000</v>
      </c>
      <c r="H243" s="367">
        <v>1000</v>
      </c>
    </row>
    <row r="244" spans="1:8" s="348" customFormat="1" x14ac:dyDescent="0.25">
      <c r="A244" s="364" t="s">
        <v>103</v>
      </c>
      <c r="B244" s="380" t="s">
        <v>104</v>
      </c>
      <c r="C244" s="368">
        <f>SUM(C245:C246)</f>
        <v>0</v>
      </c>
      <c r="D244" s="368">
        <f>SUM(D245:D246)</f>
        <v>0</v>
      </c>
      <c r="E244" s="368">
        <f>SUM(E245:E246)</f>
        <v>130272.28</v>
      </c>
      <c r="F244" s="368">
        <f>SUM(F245:F246)</f>
        <v>130272.28</v>
      </c>
      <c r="G244" s="368">
        <f t="shared" ref="G244:H244" si="96">SUM(G245:G246)</f>
        <v>132326.43</v>
      </c>
      <c r="H244" s="368">
        <f t="shared" si="96"/>
        <v>134401.21000000002</v>
      </c>
    </row>
    <row r="245" spans="1:8" s="348" customFormat="1" x14ac:dyDescent="0.25">
      <c r="A245" s="366" t="s">
        <v>491</v>
      </c>
      <c r="B245" s="389" t="s">
        <v>289</v>
      </c>
      <c r="C245" s="367"/>
      <c r="D245" s="367"/>
      <c r="E245" s="367">
        <v>126272.28</v>
      </c>
      <c r="F245" s="367">
        <f>113000+13272.28</f>
        <v>126272.28</v>
      </c>
      <c r="G245" s="367">
        <v>128326.43</v>
      </c>
      <c r="H245" s="367">
        <v>130401.21</v>
      </c>
    </row>
    <row r="246" spans="1:8" s="348" customFormat="1" x14ac:dyDescent="0.25">
      <c r="A246" s="366" t="s">
        <v>626</v>
      </c>
      <c r="B246" s="389" t="s">
        <v>627</v>
      </c>
      <c r="C246" s="367"/>
      <c r="D246" s="367"/>
      <c r="E246" s="367">
        <v>4000</v>
      </c>
      <c r="F246" s="367">
        <v>4000</v>
      </c>
      <c r="G246" s="367">
        <v>4000</v>
      </c>
      <c r="H246" s="367">
        <v>4000</v>
      </c>
    </row>
    <row r="247" spans="1:8" s="348" customFormat="1" x14ac:dyDescent="0.25">
      <c r="A247" s="364" t="s">
        <v>105</v>
      </c>
      <c r="B247" s="380" t="s">
        <v>106</v>
      </c>
      <c r="C247" s="368">
        <f t="shared" ref="C247:H247" si="97">SUM(C248:C249)</f>
        <v>0</v>
      </c>
      <c r="D247" s="368">
        <f t="shared" si="97"/>
        <v>0</v>
      </c>
      <c r="E247" s="368">
        <f t="shared" si="97"/>
        <v>1663.6100000000001</v>
      </c>
      <c r="F247" s="368">
        <f t="shared" si="97"/>
        <v>1663.6100000000001</v>
      </c>
      <c r="G247" s="368">
        <f t="shared" si="97"/>
        <v>1863.6100000000001</v>
      </c>
      <c r="H247" s="368">
        <f t="shared" si="97"/>
        <v>2063.61</v>
      </c>
    </row>
    <row r="248" spans="1:8" s="348" customFormat="1" x14ac:dyDescent="0.25">
      <c r="A248" s="366" t="s">
        <v>530</v>
      </c>
      <c r="B248" s="389" t="s">
        <v>407</v>
      </c>
      <c r="C248" s="367"/>
      <c r="D248" s="367"/>
      <c r="E248" s="367">
        <v>1000</v>
      </c>
      <c r="F248" s="367">
        <v>1000</v>
      </c>
      <c r="G248" s="367">
        <v>1200</v>
      </c>
      <c r="H248" s="367">
        <v>1400</v>
      </c>
    </row>
    <row r="249" spans="1:8" s="348" customFormat="1" x14ac:dyDescent="0.25">
      <c r="A249" s="366" t="s">
        <v>511</v>
      </c>
      <c r="B249" s="389" t="s">
        <v>408</v>
      </c>
      <c r="C249" s="367"/>
      <c r="D249" s="367"/>
      <c r="E249" s="367">
        <v>663.61</v>
      </c>
      <c r="F249" s="367">
        <v>663.61</v>
      </c>
      <c r="G249" s="367">
        <v>663.61</v>
      </c>
      <c r="H249" s="367">
        <v>663.61</v>
      </c>
    </row>
    <row r="250" spans="1:8" s="348" customFormat="1" hidden="1" x14ac:dyDescent="0.25">
      <c r="A250" s="364" t="s">
        <v>107</v>
      </c>
      <c r="B250" s="380" t="s">
        <v>108</v>
      </c>
      <c r="C250" s="368"/>
      <c r="D250" s="368"/>
      <c r="E250" s="368"/>
      <c r="F250" s="368"/>
      <c r="G250" s="368"/>
      <c r="H250" s="368"/>
    </row>
    <row r="251" spans="1:8" s="349" customFormat="1" x14ac:dyDescent="0.25">
      <c r="A251" s="364" t="s">
        <v>109</v>
      </c>
      <c r="B251" s="365" t="s">
        <v>110</v>
      </c>
      <c r="C251" s="328">
        <f>C252+C254+C257+C260+C261+C264</f>
        <v>0</v>
      </c>
      <c r="D251" s="328">
        <f>D252+D254+D257+D260+D261+D264</f>
        <v>0</v>
      </c>
      <c r="E251" s="328">
        <f>E252+E254+E257+E260+E261+E264</f>
        <v>33838.39</v>
      </c>
      <c r="F251" s="328">
        <f>F252+F254+F257+F260+F261+F264</f>
        <v>33838.39</v>
      </c>
      <c r="G251" s="328">
        <f t="shared" ref="G251:H251" si="98">G252+G254+G257+G260+G261+G264</f>
        <v>34500</v>
      </c>
      <c r="H251" s="328">
        <f t="shared" si="98"/>
        <v>35200</v>
      </c>
    </row>
    <row r="252" spans="1:8" s="349" customFormat="1" x14ac:dyDescent="0.25">
      <c r="A252" s="364" t="s">
        <v>111</v>
      </c>
      <c r="B252" s="365" t="s">
        <v>112</v>
      </c>
      <c r="C252" s="328">
        <f>SUM(C253)</f>
        <v>0</v>
      </c>
      <c r="D252" s="328">
        <f>SUM(D253)</f>
        <v>0</v>
      </c>
      <c r="E252" s="328">
        <f>SUM(E253)</f>
        <v>8033.0300000000007</v>
      </c>
      <c r="F252" s="328">
        <f>SUM(F253)</f>
        <v>8033.0300000000007</v>
      </c>
      <c r="G252" s="328">
        <f t="shared" ref="G252:H252" si="99">SUM(G253)</f>
        <v>8500</v>
      </c>
      <c r="H252" s="328">
        <f t="shared" si="99"/>
        <v>8950</v>
      </c>
    </row>
    <row r="253" spans="1:8" s="350" customFormat="1" x14ac:dyDescent="0.25">
      <c r="A253" s="366" t="s">
        <v>512</v>
      </c>
      <c r="B253" s="286" t="s">
        <v>112</v>
      </c>
      <c r="C253" s="367"/>
      <c r="D253" s="367"/>
      <c r="E253" s="367">
        <v>8033.0300000000007</v>
      </c>
      <c r="F253" s="367">
        <f>7393.84+639.19</f>
        <v>8033.0300000000007</v>
      </c>
      <c r="G253" s="367">
        <v>8500</v>
      </c>
      <c r="H253" s="367">
        <v>8950</v>
      </c>
    </row>
    <row r="254" spans="1:8" s="350" customFormat="1" hidden="1" x14ac:dyDescent="0.25">
      <c r="A254" s="364" t="s">
        <v>113</v>
      </c>
      <c r="B254" s="365" t="s">
        <v>114</v>
      </c>
      <c r="C254" s="368">
        <f>SUM(C255:C256)</f>
        <v>0</v>
      </c>
      <c r="D254" s="368">
        <f>SUM(D255:D256)</f>
        <v>0</v>
      </c>
      <c r="E254" s="368"/>
      <c r="F254" s="368">
        <f>SUM(F255:F256)</f>
        <v>0</v>
      </c>
      <c r="G254" s="368">
        <f t="shared" ref="G254:H254" si="100">SUM(G255:G256)</f>
        <v>0</v>
      </c>
      <c r="H254" s="368">
        <f t="shared" si="100"/>
        <v>0</v>
      </c>
    </row>
    <row r="255" spans="1:8" s="350" customFormat="1" hidden="1" x14ac:dyDescent="0.25">
      <c r="A255" s="366" t="s">
        <v>493</v>
      </c>
      <c r="B255" s="286" t="s">
        <v>415</v>
      </c>
      <c r="C255" s="367"/>
      <c r="D255" s="367">
        <v>0</v>
      </c>
      <c r="E255" s="367"/>
      <c r="F255" s="367"/>
      <c r="G255" s="367"/>
      <c r="H255" s="367"/>
    </row>
    <row r="256" spans="1:8" hidden="1" x14ac:dyDescent="0.25">
      <c r="A256" s="366" t="s">
        <v>494</v>
      </c>
      <c r="B256" s="286" t="s">
        <v>416</v>
      </c>
      <c r="C256" s="367"/>
      <c r="D256" s="367">
        <v>0</v>
      </c>
      <c r="E256" s="367"/>
      <c r="F256" s="367">
        <v>0</v>
      </c>
      <c r="G256" s="367"/>
      <c r="H256" s="367"/>
    </row>
    <row r="257" spans="1:8" x14ac:dyDescent="0.25">
      <c r="A257" s="364" t="s">
        <v>115</v>
      </c>
      <c r="B257" s="365" t="s">
        <v>116</v>
      </c>
      <c r="C257" s="368">
        <f t="shared" ref="C257:H257" si="101">SUM(C258:C259)</f>
        <v>0</v>
      </c>
      <c r="D257" s="368">
        <f t="shared" si="101"/>
        <v>0</v>
      </c>
      <c r="E257" s="368">
        <f t="shared" si="101"/>
        <v>18805.36</v>
      </c>
      <c r="F257" s="368">
        <f t="shared" si="101"/>
        <v>18805.36</v>
      </c>
      <c r="G257" s="368">
        <f t="shared" si="101"/>
        <v>19000</v>
      </c>
      <c r="H257" s="368">
        <f t="shared" si="101"/>
        <v>19250</v>
      </c>
    </row>
    <row r="258" spans="1:8" x14ac:dyDescent="0.25">
      <c r="A258" s="366" t="s">
        <v>498</v>
      </c>
      <c r="B258" s="286" t="s">
        <v>421</v>
      </c>
      <c r="C258" s="367"/>
      <c r="D258" s="367"/>
      <c r="E258" s="367">
        <v>13500</v>
      </c>
      <c r="F258" s="367">
        <v>13500</v>
      </c>
      <c r="G258" s="367">
        <v>13500</v>
      </c>
      <c r="H258" s="367">
        <v>13500</v>
      </c>
    </row>
    <row r="259" spans="1:8" x14ac:dyDescent="0.25">
      <c r="A259" s="366" t="s">
        <v>499</v>
      </c>
      <c r="B259" s="286" t="s">
        <v>418</v>
      </c>
      <c r="C259" s="367"/>
      <c r="D259" s="367"/>
      <c r="E259" s="367">
        <v>5305.36</v>
      </c>
      <c r="F259" s="367">
        <v>5305.36</v>
      </c>
      <c r="G259" s="367">
        <v>5500</v>
      </c>
      <c r="H259" s="367">
        <v>5750</v>
      </c>
    </row>
    <row r="260" spans="1:8" hidden="1" x14ac:dyDescent="0.25">
      <c r="A260" s="364" t="s">
        <v>117</v>
      </c>
      <c r="B260" s="365" t="s">
        <v>326</v>
      </c>
      <c r="C260" s="390"/>
      <c r="D260" s="390"/>
      <c r="E260" s="390"/>
      <c r="F260" s="390"/>
      <c r="G260" s="390"/>
      <c r="H260" s="390"/>
    </row>
    <row r="261" spans="1:8" x14ac:dyDescent="0.25">
      <c r="A261" s="364" t="s">
        <v>119</v>
      </c>
      <c r="B261" s="365" t="s">
        <v>120</v>
      </c>
      <c r="C261" s="368">
        <f t="shared" ref="C261:H261" si="102">SUM(C262:C263)</f>
        <v>0</v>
      </c>
      <c r="D261" s="368">
        <f t="shared" si="102"/>
        <v>0</v>
      </c>
      <c r="E261" s="368">
        <f t="shared" si="102"/>
        <v>7000</v>
      </c>
      <c r="F261" s="368">
        <f t="shared" si="102"/>
        <v>7000</v>
      </c>
      <c r="G261" s="368">
        <f t="shared" si="102"/>
        <v>7000</v>
      </c>
      <c r="H261" s="368">
        <f t="shared" si="102"/>
        <v>7000</v>
      </c>
    </row>
    <row r="262" spans="1:8" x14ac:dyDescent="0.25">
      <c r="A262" s="366" t="s">
        <v>500</v>
      </c>
      <c r="B262" s="286" t="s">
        <v>596</v>
      </c>
      <c r="C262" s="367"/>
      <c r="D262" s="367"/>
      <c r="E262" s="367">
        <v>5000</v>
      </c>
      <c r="F262" s="367">
        <v>5000</v>
      </c>
      <c r="G262" s="367">
        <v>5000</v>
      </c>
      <c r="H262" s="367">
        <v>5000</v>
      </c>
    </row>
    <row r="263" spans="1:8" x14ac:dyDescent="0.25">
      <c r="A263" s="366" t="s">
        <v>595</v>
      </c>
      <c r="B263" s="286" t="s">
        <v>597</v>
      </c>
      <c r="C263" s="367"/>
      <c r="D263" s="367"/>
      <c r="E263" s="367">
        <v>2000</v>
      </c>
      <c r="F263" s="367">
        <v>2000</v>
      </c>
      <c r="G263" s="367">
        <v>2000</v>
      </c>
      <c r="H263" s="367">
        <v>2000</v>
      </c>
    </row>
    <row r="264" spans="1:8" hidden="1" x14ac:dyDescent="0.25">
      <c r="A264" s="364" t="s">
        <v>121</v>
      </c>
      <c r="B264" s="365" t="s">
        <v>327</v>
      </c>
      <c r="C264" s="368"/>
      <c r="D264" s="368"/>
      <c r="E264" s="368"/>
      <c r="F264" s="368"/>
      <c r="G264" s="368"/>
      <c r="H264" s="368"/>
    </row>
    <row r="265" spans="1:8" s="329" customFormat="1" x14ac:dyDescent="0.25">
      <c r="A265" s="364" t="s">
        <v>123</v>
      </c>
      <c r="B265" s="365" t="s">
        <v>124</v>
      </c>
      <c r="C265" s="328">
        <f>C266+C270+C274+C276+C277+C278+C280+C284+C287</f>
        <v>0</v>
      </c>
      <c r="D265" s="328">
        <f>D266+D270+D274+D276+D277+D278+D280+D284+D287</f>
        <v>0</v>
      </c>
      <c r="E265" s="328">
        <f>E266+E270+E274+E276+E277+E278+E280+E284+E287</f>
        <v>148619.07</v>
      </c>
      <c r="F265" s="328">
        <f>F266+F270+F274+F276+F277+F278+F280+F284+F287</f>
        <v>148619.07</v>
      </c>
      <c r="G265" s="328">
        <f t="shared" ref="G265:H265" si="103">G266+G270+G274+G276+G277+G278+G280+G284+G287</f>
        <v>149919.07</v>
      </c>
      <c r="H265" s="328">
        <f t="shared" si="103"/>
        <v>151219.07</v>
      </c>
    </row>
    <row r="266" spans="1:8" x14ac:dyDescent="0.25">
      <c r="A266" s="364" t="s">
        <v>125</v>
      </c>
      <c r="B266" s="365" t="s">
        <v>126</v>
      </c>
      <c r="C266" s="368">
        <f t="shared" ref="C266:H266" si="104">SUM(C267:C269)</f>
        <v>0</v>
      </c>
      <c r="D266" s="368">
        <f t="shared" si="104"/>
        <v>0</v>
      </c>
      <c r="E266" s="368">
        <f t="shared" si="104"/>
        <v>36700</v>
      </c>
      <c r="F266" s="368">
        <f t="shared" si="104"/>
        <v>36700</v>
      </c>
      <c r="G266" s="368">
        <f t="shared" si="104"/>
        <v>38000</v>
      </c>
      <c r="H266" s="368">
        <f t="shared" si="104"/>
        <v>39300</v>
      </c>
    </row>
    <row r="267" spans="1:8" x14ac:dyDescent="0.25">
      <c r="A267" s="366" t="s">
        <v>502</v>
      </c>
      <c r="B267" s="287" t="s">
        <v>426</v>
      </c>
      <c r="C267" s="367"/>
      <c r="D267" s="367"/>
      <c r="E267" s="367">
        <v>30000</v>
      </c>
      <c r="F267" s="367">
        <v>30000</v>
      </c>
      <c r="G267" s="367">
        <v>31000</v>
      </c>
      <c r="H267" s="367">
        <v>32000</v>
      </c>
    </row>
    <row r="268" spans="1:8" x14ac:dyDescent="0.25">
      <c r="A268" s="366" t="s">
        <v>503</v>
      </c>
      <c r="B268" s="287" t="s">
        <v>427</v>
      </c>
      <c r="C268" s="367"/>
      <c r="D268" s="367"/>
      <c r="E268" s="367">
        <v>3500</v>
      </c>
      <c r="F268" s="367">
        <v>3500</v>
      </c>
      <c r="G268" s="367">
        <v>3500</v>
      </c>
      <c r="H268" s="367">
        <v>3500</v>
      </c>
    </row>
    <row r="269" spans="1:8" x14ac:dyDescent="0.25">
      <c r="A269" s="366" t="s">
        <v>561</v>
      </c>
      <c r="B269" s="287" t="s">
        <v>562</v>
      </c>
      <c r="C269" s="367"/>
      <c r="D269" s="367"/>
      <c r="E269" s="367">
        <v>3200</v>
      </c>
      <c r="F269" s="367">
        <v>3200</v>
      </c>
      <c r="G269" s="367">
        <v>3500</v>
      </c>
      <c r="H269" s="367">
        <v>3800</v>
      </c>
    </row>
    <row r="270" spans="1:8" x14ac:dyDescent="0.25">
      <c r="A270" s="364" t="s">
        <v>127</v>
      </c>
      <c r="B270" s="365" t="s">
        <v>128</v>
      </c>
      <c r="C270" s="368">
        <f>SUM(C271:C273)</f>
        <v>0</v>
      </c>
      <c r="D270" s="368">
        <f>SUM(D271:D273)</f>
        <v>0</v>
      </c>
      <c r="E270" s="368">
        <f>SUM(E271:E273)</f>
        <v>17917.580000000002</v>
      </c>
      <c r="F270" s="368">
        <f>SUM(F271:F273)</f>
        <v>17917.580000000002</v>
      </c>
      <c r="G270" s="368">
        <f t="shared" ref="G270:H270" si="105">SUM(G271:G273)</f>
        <v>17917.580000000002</v>
      </c>
      <c r="H270" s="368">
        <f t="shared" si="105"/>
        <v>17917.580000000002</v>
      </c>
    </row>
    <row r="271" spans="1:8" x14ac:dyDescent="0.25">
      <c r="A271" s="366">
        <v>32321</v>
      </c>
      <c r="B271" s="286" t="s">
        <v>429</v>
      </c>
      <c r="C271" s="367">
        <v>0</v>
      </c>
      <c r="D271" s="367"/>
      <c r="E271" s="367">
        <v>11000</v>
      </c>
      <c r="F271" s="367">
        <v>11000</v>
      </c>
      <c r="G271" s="367">
        <v>11250</v>
      </c>
      <c r="H271" s="367">
        <v>11450</v>
      </c>
    </row>
    <row r="272" spans="1:8" x14ac:dyDescent="0.25">
      <c r="A272" s="366">
        <v>32322</v>
      </c>
      <c r="B272" s="286" t="s">
        <v>430</v>
      </c>
      <c r="C272" s="367"/>
      <c r="D272" s="367"/>
      <c r="E272" s="367">
        <v>3750</v>
      </c>
      <c r="F272" s="367">
        <v>3750</v>
      </c>
      <c r="G272" s="367">
        <v>3750</v>
      </c>
      <c r="H272" s="367">
        <v>3750</v>
      </c>
    </row>
    <row r="273" spans="1:8" x14ac:dyDescent="0.25">
      <c r="A273" s="366">
        <v>32323</v>
      </c>
      <c r="B273" s="286" t="s">
        <v>428</v>
      </c>
      <c r="C273" s="367"/>
      <c r="D273" s="367"/>
      <c r="E273" s="367">
        <v>3167.58</v>
      </c>
      <c r="F273" s="367">
        <v>3167.58</v>
      </c>
      <c r="G273" s="367">
        <f>17917.58-G271-G272</f>
        <v>2917.5800000000017</v>
      </c>
      <c r="H273" s="367">
        <f>17917.58-H271-H272</f>
        <v>2717.5800000000017</v>
      </c>
    </row>
    <row r="274" spans="1:8" x14ac:dyDescent="0.25">
      <c r="A274" s="364" t="s">
        <v>129</v>
      </c>
      <c r="B274" s="365" t="s">
        <v>130</v>
      </c>
      <c r="C274" s="368">
        <f t="shared" ref="C274:H274" si="106">C275</f>
        <v>0</v>
      </c>
      <c r="D274" s="368">
        <f t="shared" si="106"/>
        <v>0</v>
      </c>
      <c r="E274" s="368">
        <f t="shared" si="106"/>
        <v>1200</v>
      </c>
      <c r="F274" s="368">
        <f t="shared" si="106"/>
        <v>1200</v>
      </c>
      <c r="G274" s="368">
        <f t="shared" si="106"/>
        <v>1200</v>
      </c>
      <c r="H274" s="368">
        <f t="shared" si="106"/>
        <v>1200</v>
      </c>
    </row>
    <row r="275" spans="1:8" x14ac:dyDescent="0.25">
      <c r="A275" s="366" t="s">
        <v>629</v>
      </c>
      <c r="B275" s="286" t="s">
        <v>630</v>
      </c>
      <c r="C275" s="367"/>
      <c r="D275" s="367"/>
      <c r="E275" s="367">
        <v>1200</v>
      </c>
      <c r="F275" s="367">
        <v>1200</v>
      </c>
      <c r="G275" s="367">
        <v>1200</v>
      </c>
      <c r="H275" s="367">
        <v>1200</v>
      </c>
    </row>
    <row r="276" spans="1:8" hidden="1" x14ac:dyDescent="0.25">
      <c r="A276" s="364" t="s">
        <v>131</v>
      </c>
      <c r="B276" s="365" t="s">
        <v>132</v>
      </c>
      <c r="C276" s="368"/>
      <c r="D276" s="368"/>
      <c r="E276" s="368"/>
      <c r="F276" s="368"/>
      <c r="G276" s="368"/>
      <c r="H276" s="368"/>
    </row>
    <row r="277" spans="1:8" hidden="1" x14ac:dyDescent="0.25">
      <c r="A277" s="364" t="s">
        <v>213</v>
      </c>
      <c r="B277" s="365" t="s">
        <v>133</v>
      </c>
      <c r="C277" s="368"/>
      <c r="D277" s="368"/>
      <c r="E277" s="368"/>
      <c r="F277" s="368"/>
      <c r="G277" s="368"/>
      <c r="H277" s="368"/>
    </row>
    <row r="278" spans="1:8" x14ac:dyDescent="0.25">
      <c r="A278" s="364" t="s">
        <v>214</v>
      </c>
      <c r="B278" s="365" t="s">
        <v>134</v>
      </c>
      <c r="C278" s="368">
        <f>SUM(C279)</f>
        <v>0</v>
      </c>
      <c r="D278" s="368">
        <f>SUM(D279)</f>
        <v>0</v>
      </c>
      <c r="E278" s="368">
        <f>SUM(E279)</f>
        <v>2654.46</v>
      </c>
      <c r="F278" s="368">
        <f>SUM(F279)</f>
        <v>2654.46</v>
      </c>
      <c r="G278" s="368">
        <f t="shared" ref="G278:H278" si="107">SUM(G279)</f>
        <v>2654.46</v>
      </c>
      <c r="H278" s="368">
        <f t="shared" si="107"/>
        <v>2654.46</v>
      </c>
    </row>
    <row r="279" spans="1:8" x14ac:dyDescent="0.25">
      <c r="A279" s="366" t="s">
        <v>513</v>
      </c>
      <c r="B279" s="286" t="s">
        <v>437</v>
      </c>
      <c r="C279" s="367"/>
      <c r="D279" s="367"/>
      <c r="E279" s="367">
        <v>2654.46</v>
      </c>
      <c r="F279" s="367">
        <v>2654.46</v>
      </c>
      <c r="G279" s="367">
        <v>2654.46</v>
      </c>
      <c r="H279" s="367">
        <v>2654.46</v>
      </c>
    </row>
    <row r="280" spans="1:8" x14ac:dyDescent="0.25">
      <c r="A280" s="364" t="s">
        <v>215</v>
      </c>
      <c r="B280" s="365" t="s">
        <v>135</v>
      </c>
      <c r="C280" s="368">
        <f t="shared" ref="C280:H280" si="108">SUM(C281:C283)</f>
        <v>0</v>
      </c>
      <c r="D280" s="368">
        <f t="shared" si="108"/>
        <v>0</v>
      </c>
      <c r="E280" s="368">
        <f t="shared" si="108"/>
        <v>49039.14</v>
      </c>
      <c r="F280" s="368">
        <f t="shared" si="108"/>
        <v>49039.14</v>
      </c>
      <c r="G280" s="368">
        <f t="shared" si="108"/>
        <v>49039.14</v>
      </c>
      <c r="H280" s="368">
        <f t="shared" si="108"/>
        <v>49039.14</v>
      </c>
    </row>
    <row r="281" spans="1:8" x14ac:dyDescent="0.25">
      <c r="A281" s="366" t="s">
        <v>514</v>
      </c>
      <c r="B281" s="286" t="s">
        <v>438</v>
      </c>
      <c r="C281" s="367"/>
      <c r="D281" s="367"/>
      <c r="E281" s="367">
        <v>37039.14</v>
      </c>
      <c r="F281" s="367">
        <f>32393.84+4645.3</f>
        <v>37039.14</v>
      </c>
      <c r="G281" s="367">
        <f t="shared" ref="G281:H281" si="109">32393.84+4645.3</f>
        <v>37039.14</v>
      </c>
      <c r="H281" s="367">
        <f t="shared" si="109"/>
        <v>37039.14</v>
      </c>
    </row>
    <row r="282" spans="1:8" x14ac:dyDescent="0.25">
      <c r="A282" s="366" t="s">
        <v>631</v>
      </c>
      <c r="B282" s="286" t="s">
        <v>439</v>
      </c>
      <c r="C282" s="367"/>
      <c r="D282" s="367"/>
      <c r="E282" s="367">
        <v>5000</v>
      </c>
      <c r="F282" s="367">
        <v>5000</v>
      </c>
      <c r="G282" s="367">
        <v>5000</v>
      </c>
      <c r="H282" s="367">
        <v>5000</v>
      </c>
    </row>
    <row r="283" spans="1:8" x14ac:dyDescent="0.25">
      <c r="A283" s="366" t="s">
        <v>568</v>
      </c>
      <c r="B283" s="289" t="s">
        <v>505</v>
      </c>
      <c r="C283" s="367"/>
      <c r="D283" s="367"/>
      <c r="E283" s="367">
        <v>7000</v>
      </c>
      <c r="F283" s="367">
        <v>7000</v>
      </c>
      <c r="G283" s="367">
        <v>7000</v>
      </c>
      <c r="H283" s="367">
        <v>7000</v>
      </c>
    </row>
    <row r="284" spans="1:8" x14ac:dyDescent="0.25">
      <c r="A284" s="364" t="s">
        <v>136</v>
      </c>
      <c r="B284" s="365" t="s">
        <v>137</v>
      </c>
      <c r="C284" s="368">
        <f t="shared" ref="C284:H284" si="110">SUM(C285:C286)</f>
        <v>0</v>
      </c>
      <c r="D284" s="368">
        <f t="shared" si="110"/>
        <v>0</v>
      </c>
      <c r="E284" s="368">
        <f t="shared" si="110"/>
        <v>13345</v>
      </c>
      <c r="F284" s="368">
        <f t="shared" si="110"/>
        <v>13345</v>
      </c>
      <c r="G284" s="368">
        <f t="shared" si="110"/>
        <v>13345</v>
      </c>
      <c r="H284" s="368">
        <f t="shared" si="110"/>
        <v>13345</v>
      </c>
    </row>
    <row r="285" spans="1:8" x14ac:dyDescent="0.25">
      <c r="A285" s="366" t="s">
        <v>632</v>
      </c>
      <c r="B285" s="286" t="s">
        <v>669</v>
      </c>
      <c r="C285" s="367"/>
      <c r="D285" s="367"/>
      <c r="E285" s="367">
        <v>10345</v>
      </c>
      <c r="F285" s="367">
        <v>10345</v>
      </c>
      <c r="G285" s="367">
        <v>10345</v>
      </c>
      <c r="H285" s="367">
        <v>10345</v>
      </c>
    </row>
    <row r="286" spans="1:8" x14ac:dyDescent="0.25">
      <c r="A286" s="366" t="s">
        <v>519</v>
      </c>
      <c r="B286" s="286" t="s">
        <v>440</v>
      </c>
      <c r="C286" s="367"/>
      <c r="D286" s="367"/>
      <c r="E286" s="367">
        <v>3000</v>
      </c>
      <c r="F286" s="367">
        <v>3000</v>
      </c>
      <c r="G286" s="367">
        <v>3000</v>
      </c>
      <c r="H286" s="367">
        <v>3000</v>
      </c>
    </row>
    <row r="287" spans="1:8" x14ac:dyDescent="0.25">
      <c r="A287" s="364" t="s">
        <v>138</v>
      </c>
      <c r="B287" s="365" t="s">
        <v>139</v>
      </c>
      <c r="C287" s="368">
        <f t="shared" ref="C287:H287" si="111">SUM(C288:C290)</f>
        <v>0</v>
      </c>
      <c r="D287" s="368">
        <f t="shared" si="111"/>
        <v>0</v>
      </c>
      <c r="E287" s="368">
        <f t="shared" si="111"/>
        <v>27762.89</v>
      </c>
      <c r="F287" s="368">
        <f t="shared" si="111"/>
        <v>27762.89</v>
      </c>
      <c r="G287" s="368">
        <f t="shared" si="111"/>
        <v>27762.89</v>
      </c>
      <c r="H287" s="368">
        <f t="shared" si="111"/>
        <v>27762.89</v>
      </c>
    </row>
    <row r="288" spans="1:8" x14ac:dyDescent="0.25">
      <c r="A288" s="290">
        <v>32391</v>
      </c>
      <c r="B288" s="289" t="s">
        <v>613</v>
      </c>
      <c r="C288" s="367"/>
      <c r="D288" s="367"/>
      <c r="E288" s="367">
        <v>1500</v>
      </c>
      <c r="F288" s="367">
        <v>1500</v>
      </c>
      <c r="G288" s="367">
        <v>1500</v>
      </c>
      <c r="H288" s="367">
        <v>1500</v>
      </c>
    </row>
    <row r="289" spans="1:8" x14ac:dyDescent="0.25">
      <c r="A289" s="290">
        <v>32394</v>
      </c>
      <c r="B289" s="289" t="s">
        <v>441</v>
      </c>
      <c r="C289" s="367"/>
      <c r="D289" s="367"/>
      <c r="E289" s="367">
        <v>3000</v>
      </c>
      <c r="F289" s="367">
        <v>3000</v>
      </c>
      <c r="G289" s="367">
        <v>3000</v>
      </c>
      <c r="H289" s="367">
        <v>3000</v>
      </c>
    </row>
    <row r="290" spans="1:8" x14ac:dyDescent="0.25">
      <c r="A290" s="366" t="s">
        <v>515</v>
      </c>
      <c r="B290" s="286" t="s">
        <v>311</v>
      </c>
      <c r="C290" s="367"/>
      <c r="D290" s="367"/>
      <c r="E290" s="367">
        <v>23262.89</v>
      </c>
      <c r="F290" s="367">
        <f>19944.82+3318.07</f>
        <v>23262.89</v>
      </c>
      <c r="G290" s="367">
        <f t="shared" ref="G290:H290" si="112">19944.82+3318.07</f>
        <v>23262.89</v>
      </c>
      <c r="H290" s="367">
        <f t="shared" si="112"/>
        <v>23262.89</v>
      </c>
    </row>
    <row r="291" spans="1:8" s="329" customFormat="1" x14ac:dyDescent="0.25">
      <c r="A291" s="364" t="s">
        <v>579</v>
      </c>
      <c r="B291" s="373" t="s">
        <v>633</v>
      </c>
      <c r="C291" s="368">
        <f t="shared" ref="C291:H291" si="113">C292+C295+C297</f>
        <v>0</v>
      </c>
      <c r="D291" s="368">
        <f t="shared" si="113"/>
        <v>0</v>
      </c>
      <c r="E291" s="368">
        <f t="shared" si="113"/>
        <v>2112554.21</v>
      </c>
      <c r="F291" s="368">
        <f t="shared" si="113"/>
        <v>2112554.21</v>
      </c>
      <c r="G291" s="368">
        <f t="shared" si="113"/>
        <v>2128200</v>
      </c>
      <c r="H291" s="368">
        <f t="shared" si="113"/>
        <v>2129500</v>
      </c>
    </row>
    <row r="292" spans="1:8" s="329" customFormat="1" x14ac:dyDescent="0.25">
      <c r="A292" s="364" t="s">
        <v>580</v>
      </c>
      <c r="B292" s="373" t="s">
        <v>633</v>
      </c>
      <c r="C292" s="368">
        <f t="shared" ref="C292:H292" si="114">C293+C294</f>
        <v>0</v>
      </c>
      <c r="D292" s="368">
        <f t="shared" si="114"/>
        <v>0</v>
      </c>
      <c r="E292" s="368">
        <f t="shared" si="114"/>
        <v>29954.21</v>
      </c>
      <c r="F292" s="368">
        <f t="shared" si="114"/>
        <v>29954.21</v>
      </c>
      <c r="G292" s="368">
        <f t="shared" si="114"/>
        <v>31200</v>
      </c>
      <c r="H292" s="368">
        <f t="shared" si="114"/>
        <v>32500</v>
      </c>
    </row>
    <row r="293" spans="1:8" x14ac:dyDescent="0.25">
      <c r="A293" s="366" t="s">
        <v>581</v>
      </c>
      <c r="B293" s="374" t="s">
        <v>583</v>
      </c>
      <c r="C293" s="367"/>
      <c r="D293" s="367"/>
      <c r="E293" s="367">
        <v>7954.21</v>
      </c>
      <c r="F293" s="367">
        <v>7954.21</v>
      </c>
      <c r="G293" s="367">
        <v>8200</v>
      </c>
      <c r="H293" s="367">
        <v>8500</v>
      </c>
    </row>
    <row r="294" spans="1:8" x14ac:dyDescent="0.25">
      <c r="A294" s="366" t="s">
        <v>582</v>
      </c>
      <c r="B294" s="374" t="s">
        <v>584</v>
      </c>
      <c r="C294" s="367"/>
      <c r="D294" s="367"/>
      <c r="E294" s="367">
        <v>22000</v>
      </c>
      <c r="F294" s="367">
        <v>22000</v>
      </c>
      <c r="G294" s="367">
        <v>23000</v>
      </c>
      <c r="H294" s="367">
        <v>24000</v>
      </c>
    </row>
    <row r="295" spans="1:8" x14ac:dyDescent="0.25">
      <c r="A295" s="369" t="s">
        <v>614</v>
      </c>
      <c r="B295" s="373" t="s">
        <v>616</v>
      </c>
      <c r="C295" s="368">
        <f t="shared" ref="C295:H295" si="115">C296</f>
        <v>0</v>
      </c>
      <c r="D295" s="368">
        <f t="shared" si="115"/>
        <v>0</v>
      </c>
      <c r="E295" s="368">
        <f t="shared" si="115"/>
        <v>4000</v>
      </c>
      <c r="F295" s="368">
        <f t="shared" si="115"/>
        <v>4000</v>
      </c>
      <c r="G295" s="368">
        <f t="shared" si="115"/>
        <v>4000</v>
      </c>
      <c r="H295" s="368">
        <f t="shared" si="115"/>
        <v>4000</v>
      </c>
    </row>
    <row r="296" spans="1:8" x14ac:dyDescent="0.25">
      <c r="A296" s="370" t="s">
        <v>615</v>
      </c>
      <c r="B296" s="374" t="s">
        <v>621</v>
      </c>
      <c r="C296" s="367"/>
      <c r="D296" s="367"/>
      <c r="E296" s="367">
        <v>4000</v>
      </c>
      <c r="F296" s="367">
        <v>4000</v>
      </c>
      <c r="G296" s="367">
        <v>4000</v>
      </c>
      <c r="H296" s="367">
        <v>4000</v>
      </c>
    </row>
    <row r="297" spans="1:8" x14ac:dyDescent="0.25">
      <c r="A297" s="369" t="s">
        <v>617</v>
      </c>
      <c r="B297" s="373" t="s">
        <v>619</v>
      </c>
      <c r="C297" s="368">
        <f t="shared" ref="C297:H297" si="116">C298</f>
        <v>0</v>
      </c>
      <c r="D297" s="368">
        <f t="shared" si="116"/>
        <v>0</v>
      </c>
      <c r="E297" s="368">
        <f t="shared" si="116"/>
        <v>2078600</v>
      </c>
      <c r="F297" s="368">
        <f t="shared" si="116"/>
        <v>2078600</v>
      </c>
      <c r="G297" s="368">
        <f t="shared" si="116"/>
        <v>2093000</v>
      </c>
      <c r="H297" s="368">
        <f t="shared" si="116"/>
        <v>2093000</v>
      </c>
    </row>
    <row r="298" spans="1:8" x14ac:dyDescent="0.25">
      <c r="A298" s="370" t="s">
        <v>618</v>
      </c>
      <c r="B298" s="374" t="s">
        <v>620</v>
      </c>
      <c r="C298" s="367"/>
      <c r="D298" s="367"/>
      <c r="E298" s="367">
        <v>2078600</v>
      </c>
      <c r="F298" s="367">
        <v>2078600</v>
      </c>
      <c r="G298" s="367">
        <v>2093000</v>
      </c>
      <c r="H298" s="367">
        <v>2093000</v>
      </c>
    </row>
    <row r="299" spans="1:8" s="329" customFormat="1" x14ac:dyDescent="0.25">
      <c r="A299" s="364" t="s">
        <v>216</v>
      </c>
      <c r="B299" s="365" t="s">
        <v>141</v>
      </c>
      <c r="C299" s="328">
        <f>C300+C302+C303+C305+C307+C309+C310</f>
        <v>0</v>
      </c>
      <c r="D299" s="328">
        <f>D300+D302+D303+D305+D307+D309+D310</f>
        <v>0</v>
      </c>
      <c r="E299" s="328">
        <f>E300+E302+E303+E305+E307+E309+E310</f>
        <v>22654.46</v>
      </c>
      <c r="F299" s="328">
        <f>F300+F302+F303+F305+F307+F309+F310</f>
        <v>22654.46</v>
      </c>
      <c r="G299" s="328">
        <f t="shared" ref="G299:H299" si="117">G300+G302+G303+G305+G307+G309+G310</f>
        <v>22654.46</v>
      </c>
      <c r="H299" s="328">
        <f t="shared" si="117"/>
        <v>22654.46</v>
      </c>
    </row>
    <row r="300" spans="1:8" s="329" customFormat="1" x14ac:dyDescent="0.25">
      <c r="A300" s="364" t="s">
        <v>228</v>
      </c>
      <c r="B300" s="365" t="s">
        <v>144</v>
      </c>
      <c r="C300" s="328">
        <f>SUM(C301)</f>
        <v>0</v>
      </c>
      <c r="D300" s="328">
        <f>SUM(D301)</f>
        <v>0</v>
      </c>
      <c r="E300" s="328">
        <f>SUM(E301)</f>
        <v>2654.46</v>
      </c>
      <c r="F300" s="328">
        <f>SUM(F301)</f>
        <v>2654.46</v>
      </c>
      <c r="G300" s="328">
        <f t="shared" ref="G300:H300" si="118">SUM(G301)</f>
        <v>2654.46</v>
      </c>
      <c r="H300" s="328">
        <f t="shared" si="118"/>
        <v>2654.46</v>
      </c>
    </row>
    <row r="301" spans="1:8" x14ac:dyDescent="0.25">
      <c r="A301" s="366" t="s">
        <v>516</v>
      </c>
      <c r="B301" s="286" t="s">
        <v>517</v>
      </c>
      <c r="C301" s="367"/>
      <c r="D301" s="367"/>
      <c r="E301" s="367">
        <v>2654.46</v>
      </c>
      <c r="F301" s="367">
        <v>2654.46</v>
      </c>
      <c r="G301" s="367">
        <v>2654.46</v>
      </c>
      <c r="H301" s="367">
        <v>2654.46</v>
      </c>
    </row>
    <row r="302" spans="1:8" hidden="1" x14ac:dyDescent="0.25">
      <c r="A302" s="364" t="s">
        <v>228</v>
      </c>
      <c r="B302" s="365" t="s">
        <v>144</v>
      </c>
      <c r="C302" s="391"/>
      <c r="D302" s="391"/>
      <c r="E302" s="391"/>
      <c r="F302" s="391"/>
      <c r="G302" s="391"/>
      <c r="H302" s="391"/>
    </row>
    <row r="303" spans="1:8" x14ac:dyDescent="0.25">
      <c r="A303" s="364" t="s">
        <v>218</v>
      </c>
      <c r="B303" s="365" t="s">
        <v>145</v>
      </c>
      <c r="C303" s="328">
        <f t="shared" ref="C303:H303" si="119">C304</f>
        <v>0</v>
      </c>
      <c r="D303" s="328">
        <f t="shared" si="119"/>
        <v>0</v>
      </c>
      <c r="E303" s="328">
        <f t="shared" si="119"/>
        <v>5000</v>
      </c>
      <c r="F303" s="328">
        <f t="shared" si="119"/>
        <v>5000</v>
      </c>
      <c r="G303" s="328">
        <f t="shared" si="119"/>
        <v>5000</v>
      </c>
      <c r="H303" s="328">
        <f t="shared" si="119"/>
        <v>5000</v>
      </c>
    </row>
    <row r="304" spans="1:8" x14ac:dyDescent="0.25">
      <c r="A304" s="366" t="s">
        <v>569</v>
      </c>
      <c r="B304" s="286" t="s">
        <v>145</v>
      </c>
      <c r="C304" s="367"/>
      <c r="D304" s="367"/>
      <c r="E304" s="367">
        <v>5000</v>
      </c>
      <c r="F304" s="367">
        <f>3000+2000</f>
        <v>5000</v>
      </c>
      <c r="G304" s="367">
        <f t="shared" ref="G304:H304" si="120">3000+2000</f>
        <v>5000</v>
      </c>
      <c r="H304" s="367">
        <f t="shared" si="120"/>
        <v>5000</v>
      </c>
    </row>
    <row r="305" spans="1:8" x14ac:dyDescent="0.25">
      <c r="A305" s="364" t="s">
        <v>328</v>
      </c>
      <c r="B305" s="365" t="s">
        <v>146</v>
      </c>
      <c r="C305" s="328">
        <f t="shared" ref="C305:H305" si="121">C306</f>
        <v>0</v>
      </c>
      <c r="D305" s="328">
        <f t="shared" si="121"/>
        <v>0</v>
      </c>
      <c r="E305" s="328">
        <f t="shared" si="121"/>
        <v>3000</v>
      </c>
      <c r="F305" s="328">
        <f t="shared" si="121"/>
        <v>3000</v>
      </c>
      <c r="G305" s="328">
        <f t="shared" si="121"/>
        <v>3000</v>
      </c>
      <c r="H305" s="328">
        <f t="shared" si="121"/>
        <v>3000</v>
      </c>
    </row>
    <row r="306" spans="1:8" x14ac:dyDescent="0.25">
      <c r="A306" s="366" t="s">
        <v>634</v>
      </c>
      <c r="B306" s="286" t="s">
        <v>447</v>
      </c>
      <c r="C306" s="367"/>
      <c r="D306" s="367"/>
      <c r="E306" s="367">
        <v>3000</v>
      </c>
      <c r="F306" s="367">
        <v>3000</v>
      </c>
      <c r="G306" s="367">
        <v>3000</v>
      </c>
      <c r="H306" s="367">
        <v>3000</v>
      </c>
    </row>
    <row r="307" spans="1:8" x14ac:dyDescent="0.25">
      <c r="A307" s="364" t="s">
        <v>219</v>
      </c>
      <c r="B307" s="365" t="s">
        <v>147</v>
      </c>
      <c r="C307" s="328">
        <f t="shared" ref="C307:H307" si="122">C308</f>
        <v>0</v>
      </c>
      <c r="D307" s="328">
        <f t="shared" si="122"/>
        <v>0</v>
      </c>
      <c r="E307" s="328">
        <f t="shared" si="122"/>
        <v>12000</v>
      </c>
      <c r="F307" s="328">
        <f t="shared" si="122"/>
        <v>12000</v>
      </c>
      <c r="G307" s="328">
        <f t="shared" si="122"/>
        <v>12000</v>
      </c>
      <c r="H307" s="328">
        <f t="shared" si="122"/>
        <v>12000</v>
      </c>
    </row>
    <row r="308" spans="1:8" x14ac:dyDescent="0.25">
      <c r="A308" s="366" t="s">
        <v>635</v>
      </c>
      <c r="B308" s="286" t="s">
        <v>636</v>
      </c>
      <c r="C308" s="367"/>
      <c r="D308" s="367"/>
      <c r="E308" s="367">
        <v>12000</v>
      </c>
      <c r="F308" s="367">
        <v>12000</v>
      </c>
      <c r="G308" s="367">
        <v>12000</v>
      </c>
      <c r="H308" s="367">
        <v>12000</v>
      </c>
    </row>
    <row r="309" spans="1:8" hidden="1" x14ac:dyDescent="0.25">
      <c r="A309" s="364" t="s">
        <v>329</v>
      </c>
      <c r="B309" s="365" t="s">
        <v>148</v>
      </c>
      <c r="C309" s="391"/>
      <c r="D309" s="391"/>
      <c r="E309" s="391"/>
      <c r="F309" s="391"/>
      <c r="G309" s="391"/>
      <c r="H309" s="391"/>
    </row>
    <row r="310" spans="1:8" hidden="1" x14ac:dyDescent="0.25">
      <c r="A310" s="364" t="s">
        <v>149</v>
      </c>
      <c r="B310" s="365" t="s">
        <v>141</v>
      </c>
      <c r="C310" s="390"/>
      <c r="D310" s="390"/>
      <c r="E310" s="390"/>
      <c r="F310" s="390"/>
      <c r="G310" s="390"/>
      <c r="H310" s="390"/>
    </row>
    <row r="311" spans="1:8" x14ac:dyDescent="0.25">
      <c r="A311" s="392" t="s">
        <v>330</v>
      </c>
      <c r="B311" s="393" t="s">
        <v>150</v>
      </c>
      <c r="C311" s="355">
        <f>C312</f>
        <v>0</v>
      </c>
      <c r="D311" s="355">
        <f>D312</f>
        <v>0</v>
      </c>
      <c r="E311" s="355">
        <f>E312</f>
        <v>6900</v>
      </c>
      <c r="F311" s="355">
        <f>F312</f>
        <v>6900</v>
      </c>
      <c r="G311" s="355">
        <f t="shared" ref="G311:H311" si="123">G312</f>
        <v>7038</v>
      </c>
      <c r="H311" s="355">
        <f t="shared" si="123"/>
        <v>7178.76</v>
      </c>
    </row>
    <row r="312" spans="1:8" s="329" customFormat="1" x14ac:dyDescent="0.25">
      <c r="A312" s="364" t="s">
        <v>331</v>
      </c>
      <c r="B312" s="365" t="s">
        <v>154</v>
      </c>
      <c r="C312" s="328">
        <f>C313+C315+C316+C317</f>
        <v>0</v>
      </c>
      <c r="D312" s="328">
        <f>D313+D315+D316+D317</f>
        <v>0</v>
      </c>
      <c r="E312" s="328">
        <f>E313+E315+E316+E317</f>
        <v>6900</v>
      </c>
      <c r="F312" s="328">
        <f>F313+F315+F316+F317</f>
        <v>6900</v>
      </c>
      <c r="G312" s="328">
        <f t="shared" ref="G312:H312" si="124">G313+G315+G316+G317</f>
        <v>7038</v>
      </c>
      <c r="H312" s="328">
        <f t="shared" si="124"/>
        <v>7178.76</v>
      </c>
    </row>
    <row r="313" spans="1:8" s="329" customFormat="1" x14ac:dyDescent="0.25">
      <c r="A313" s="364" t="s">
        <v>152</v>
      </c>
      <c r="B313" s="365" t="s">
        <v>153</v>
      </c>
      <c r="C313" s="328">
        <f t="shared" ref="C313:H313" si="125">C314</f>
        <v>0</v>
      </c>
      <c r="D313" s="328">
        <f t="shared" si="125"/>
        <v>0</v>
      </c>
      <c r="E313" s="328">
        <f t="shared" si="125"/>
        <v>6200</v>
      </c>
      <c r="F313" s="328">
        <f t="shared" si="125"/>
        <v>6200</v>
      </c>
      <c r="G313" s="328">
        <f t="shared" si="125"/>
        <v>6300</v>
      </c>
      <c r="H313" s="328">
        <f t="shared" si="125"/>
        <v>6400</v>
      </c>
    </row>
    <row r="314" spans="1:8" x14ac:dyDescent="0.25">
      <c r="A314" s="366" t="s">
        <v>637</v>
      </c>
      <c r="B314" s="286" t="s">
        <v>453</v>
      </c>
      <c r="C314" s="367"/>
      <c r="D314" s="367"/>
      <c r="E314" s="367">
        <v>6200</v>
      </c>
      <c r="F314" s="367">
        <v>6200</v>
      </c>
      <c r="G314" s="367">
        <v>6300</v>
      </c>
      <c r="H314" s="367">
        <v>6400</v>
      </c>
    </row>
    <row r="315" spans="1:8" s="329" customFormat="1" hidden="1" x14ac:dyDescent="0.25">
      <c r="A315" s="364" t="s">
        <v>332</v>
      </c>
      <c r="B315" s="365" t="s">
        <v>202</v>
      </c>
      <c r="C315" s="390"/>
      <c r="D315" s="390"/>
      <c r="E315" s="390"/>
      <c r="F315" s="390"/>
      <c r="G315" s="390"/>
      <c r="H315" s="390"/>
    </row>
    <row r="316" spans="1:8" s="329" customFormat="1" hidden="1" x14ac:dyDescent="0.25">
      <c r="A316" s="364" t="s">
        <v>333</v>
      </c>
      <c r="B316" s="365" t="s">
        <v>154</v>
      </c>
      <c r="C316" s="390"/>
      <c r="D316" s="390"/>
      <c r="E316" s="390"/>
      <c r="F316" s="390"/>
      <c r="G316" s="390"/>
      <c r="H316" s="390"/>
    </row>
    <row r="317" spans="1:8" s="329" customFormat="1" x14ac:dyDescent="0.25">
      <c r="A317" s="364" t="s">
        <v>334</v>
      </c>
      <c r="B317" s="365" t="s">
        <v>155</v>
      </c>
      <c r="C317" s="328">
        <f t="shared" ref="C317:H317" si="126">C318</f>
        <v>0</v>
      </c>
      <c r="D317" s="328">
        <f t="shared" si="126"/>
        <v>0</v>
      </c>
      <c r="E317" s="328">
        <f t="shared" si="126"/>
        <v>700</v>
      </c>
      <c r="F317" s="328">
        <f t="shared" si="126"/>
        <v>700</v>
      </c>
      <c r="G317" s="328">
        <f t="shared" si="126"/>
        <v>738</v>
      </c>
      <c r="H317" s="328">
        <f t="shared" si="126"/>
        <v>778.76</v>
      </c>
    </row>
    <row r="318" spans="1:8" x14ac:dyDescent="0.25">
      <c r="A318" s="366" t="s">
        <v>638</v>
      </c>
      <c r="B318" s="286" t="s">
        <v>151</v>
      </c>
      <c r="C318" s="367"/>
      <c r="D318" s="367"/>
      <c r="E318" s="367">
        <v>700</v>
      </c>
      <c r="F318" s="367">
        <v>700</v>
      </c>
      <c r="G318" s="367">
        <v>738</v>
      </c>
      <c r="H318" s="367">
        <v>778.76</v>
      </c>
    </row>
    <row r="319" spans="1:8" s="329" customFormat="1" hidden="1" x14ac:dyDescent="0.25">
      <c r="A319" s="392" t="s">
        <v>335</v>
      </c>
      <c r="B319" s="393" t="s">
        <v>323</v>
      </c>
      <c r="C319" s="355">
        <f t="shared" ref="C319:H320" si="127">C320</f>
        <v>0</v>
      </c>
      <c r="D319" s="355">
        <f t="shared" si="127"/>
        <v>0</v>
      </c>
      <c r="E319" s="355"/>
      <c r="F319" s="355">
        <f t="shared" si="127"/>
        <v>0</v>
      </c>
      <c r="G319" s="355">
        <f t="shared" si="127"/>
        <v>0</v>
      </c>
      <c r="H319" s="355">
        <f t="shared" si="127"/>
        <v>0</v>
      </c>
    </row>
    <row r="320" spans="1:8" s="329" customFormat="1" hidden="1" x14ac:dyDescent="0.25">
      <c r="A320" s="364" t="s">
        <v>336</v>
      </c>
      <c r="B320" s="365" t="s">
        <v>160</v>
      </c>
      <c r="C320" s="328">
        <f t="shared" si="127"/>
        <v>0</v>
      </c>
      <c r="D320" s="328">
        <f t="shared" si="127"/>
        <v>0</v>
      </c>
      <c r="E320" s="328"/>
      <c r="F320" s="328">
        <f t="shared" si="127"/>
        <v>0</v>
      </c>
      <c r="G320" s="328">
        <f t="shared" si="127"/>
        <v>0</v>
      </c>
      <c r="H320" s="328">
        <f t="shared" si="127"/>
        <v>0</v>
      </c>
    </row>
    <row r="321" spans="1:8" hidden="1" x14ac:dyDescent="0.25">
      <c r="A321" s="366" t="s">
        <v>337</v>
      </c>
      <c r="B321" s="286" t="s">
        <v>161</v>
      </c>
      <c r="C321" s="394"/>
      <c r="D321" s="394"/>
      <c r="E321" s="394"/>
      <c r="F321" s="394"/>
      <c r="G321" s="394"/>
      <c r="H321" s="394"/>
    </row>
    <row r="322" spans="1:8" s="329" customFormat="1" x14ac:dyDescent="0.25">
      <c r="A322" s="392" t="s">
        <v>162</v>
      </c>
      <c r="B322" s="393" t="s">
        <v>95</v>
      </c>
      <c r="C322" s="355">
        <f>C323+C325+C329</f>
        <v>0</v>
      </c>
      <c r="D322" s="355">
        <f>D323+D325+D329</f>
        <v>0</v>
      </c>
      <c r="E322" s="355">
        <f>E323+E325+E329</f>
        <v>1000</v>
      </c>
      <c r="F322" s="355">
        <f>F323+F325+F329</f>
        <v>1000</v>
      </c>
      <c r="G322" s="355">
        <f t="shared" ref="G322:H322" si="128">G323+G325+G329</f>
        <v>1020</v>
      </c>
      <c r="H322" s="355">
        <f t="shared" si="128"/>
        <v>1040.4000000000001</v>
      </c>
    </row>
    <row r="323" spans="1:8" s="329" customFormat="1" hidden="1" x14ac:dyDescent="0.25">
      <c r="A323" s="364" t="s">
        <v>163</v>
      </c>
      <c r="B323" s="365" t="s">
        <v>69</v>
      </c>
      <c r="C323" s="328">
        <f>C324</f>
        <v>0</v>
      </c>
      <c r="D323" s="328">
        <f>D324</f>
        <v>0</v>
      </c>
      <c r="E323" s="328">
        <f>E324</f>
        <v>0</v>
      </c>
      <c r="F323" s="328">
        <f>F324</f>
        <v>0</v>
      </c>
      <c r="G323" s="328">
        <f t="shared" ref="G323:H323" si="129">G324</f>
        <v>0</v>
      </c>
      <c r="H323" s="328">
        <f t="shared" si="129"/>
        <v>0</v>
      </c>
    </row>
    <row r="324" spans="1:8" hidden="1" x14ac:dyDescent="0.25">
      <c r="A324" s="366" t="s">
        <v>165</v>
      </c>
      <c r="B324" s="286" t="s">
        <v>164</v>
      </c>
      <c r="C324" s="394"/>
      <c r="D324" s="394"/>
      <c r="E324" s="394"/>
      <c r="F324" s="394"/>
      <c r="G324" s="394"/>
      <c r="H324" s="394"/>
    </row>
    <row r="325" spans="1:8" s="329" customFormat="1" x14ac:dyDescent="0.25">
      <c r="A325" s="364" t="s">
        <v>338</v>
      </c>
      <c r="B325" s="365" t="s">
        <v>166</v>
      </c>
      <c r="C325" s="328">
        <f>SUM(C326:C328)</f>
        <v>0</v>
      </c>
      <c r="D325" s="328">
        <f>SUM(D326:D328)</f>
        <v>0</v>
      </c>
      <c r="E325" s="328">
        <f>E326+E328</f>
        <v>1000</v>
      </c>
      <c r="F325" s="328">
        <f>F326+F328</f>
        <v>1000</v>
      </c>
      <c r="G325" s="328">
        <f t="shared" ref="G325:H325" si="130">G326+G328</f>
        <v>1020</v>
      </c>
      <c r="H325" s="328">
        <f t="shared" si="130"/>
        <v>1040.4000000000001</v>
      </c>
    </row>
    <row r="326" spans="1:8" s="329" customFormat="1" x14ac:dyDescent="0.25">
      <c r="A326" s="364" t="s">
        <v>339</v>
      </c>
      <c r="B326" s="365" t="s">
        <v>169</v>
      </c>
      <c r="C326" s="328">
        <f>C327</f>
        <v>0</v>
      </c>
      <c r="D326" s="328">
        <f>D327</f>
        <v>0</v>
      </c>
      <c r="E326" s="328">
        <f>E327</f>
        <v>1000</v>
      </c>
      <c r="F326" s="328">
        <f>F327</f>
        <v>1000</v>
      </c>
      <c r="G326" s="328">
        <f t="shared" ref="G326:H326" si="131">G327</f>
        <v>1020</v>
      </c>
      <c r="H326" s="328">
        <f t="shared" si="131"/>
        <v>1040.4000000000001</v>
      </c>
    </row>
    <row r="327" spans="1:8" x14ac:dyDescent="0.25">
      <c r="A327" s="366" t="s">
        <v>639</v>
      </c>
      <c r="B327" s="286" t="s">
        <v>169</v>
      </c>
      <c r="C327" s="367"/>
      <c r="D327" s="367"/>
      <c r="E327" s="367">
        <v>1000</v>
      </c>
      <c r="F327" s="367">
        <v>1000</v>
      </c>
      <c r="G327" s="367">
        <v>1020</v>
      </c>
      <c r="H327" s="367">
        <v>1040.4000000000001</v>
      </c>
    </row>
    <row r="328" spans="1:8" s="329" customFormat="1" hidden="1" x14ac:dyDescent="0.25">
      <c r="A328" s="364" t="s">
        <v>340</v>
      </c>
      <c r="B328" s="365" t="s">
        <v>170</v>
      </c>
      <c r="C328" s="390"/>
      <c r="D328" s="390"/>
      <c r="E328" s="390"/>
      <c r="F328" s="390"/>
      <c r="G328" s="390"/>
      <c r="H328" s="390"/>
    </row>
    <row r="329" spans="1:8" s="329" customFormat="1" hidden="1" x14ac:dyDescent="0.25">
      <c r="A329" s="364" t="s">
        <v>341</v>
      </c>
      <c r="B329" s="365" t="s">
        <v>342</v>
      </c>
      <c r="C329" s="385">
        <f>C330</f>
        <v>0</v>
      </c>
      <c r="D329" s="385">
        <f>D330</f>
        <v>0</v>
      </c>
      <c r="E329" s="385"/>
      <c r="F329" s="385">
        <f>F330</f>
        <v>0</v>
      </c>
      <c r="G329" s="385">
        <f t="shared" ref="G329:H329" si="132">G330</f>
        <v>0</v>
      </c>
      <c r="H329" s="385">
        <f t="shared" si="132"/>
        <v>0</v>
      </c>
    </row>
    <row r="330" spans="1:8" s="329" customFormat="1" hidden="1" x14ac:dyDescent="0.25">
      <c r="A330" s="364" t="s">
        <v>343</v>
      </c>
      <c r="B330" s="365" t="s">
        <v>344</v>
      </c>
      <c r="C330" s="450"/>
      <c r="D330" s="450"/>
      <c r="E330" s="450"/>
      <c r="F330" s="450"/>
      <c r="G330" s="450"/>
      <c r="H330" s="450"/>
    </row>
    <row r="331" spans="1:8" s="329" customFormat="1" hidden="1" x14ac:dyDescent="0.25">
      <c r="A331" s="396" t="s">
        <v>345</v>
      </c>
      <c r="B331" s="397" t="s">
        <v>171</v>
      </c>
      <c r="C331" s="339">
        <f>C332+C335</f>
        <v>0</v>
      </c>
      <c r="D331" s="339">
        <f>D332+D335</f>
        <v>0</v>
      </c>
      <c r="E331" s="339"/>
      <c r="F331" s="339">
        <f>F332+F335</f>
        <v>0</v>
      </c>
      <c r="G331" s="339">
        <f t="shared" ref="G331:H331" si="133">G332+G335</f>
        <v>0</v>
      </c>
      <c r="H331" s="339">
        <f t="shared" si="133"/>
        <v>0</v>
      </c>
    </row>
    <row r="332" spans="1:8" s="329" customFormat="1" hidden="1" x14ac:dyDescent="0.25">
      <c r="A332" s="392" t="s">
        <v>172</v>
      </c>
      <c r="B332" s="393" t="s">
        <v>173</v>
      </c>
      <c r="C332" s="355">
        <f t="shared" ref="C332:H333" si="134">C333</f>
        <v>0</v>
      </c>
      <c r="D332" s="355">
        <f t="shared" si="134"/>
        <v>0</v>
      </c>
      <c r="E332" s="355"/>
      <c r="F332" s="355">
        <f t="shared" si="134"/>
        <v>0</v>
      </c>
      <c r="G332" s="355">
        <f t="shared" si="134"/>
        <v>0</v>
      </c>
      <c r="H332" s="355">
        <f t="shared" si="134"/>
        <v>0</v>
      </c>
    </row>
    <row r="333" spans="1:8" s="329" customFormat="1" hidden="1" x14ac:dyDescent="0.25">
      <c r="A333" s="364" t="s">
        <v>346</v>
      </c>
      <c r="B333" s="365" t="s">
        <v>178</v>
      </c>
      <c r="C333" s="328">
        <f t="shared" si="134"/>
        <v>0</v>
      </c>
      <c r="D333" s="328">
        <f t="shared" si="134"/>
        <v>0</v>
      </c>
      <c r="E333" s="328"/>
      <c r="F333" s="328">
        <f t="shared" si="134"/>
        <v>0</v>
      </c>
      <c r="G333" s="328">
        <f t="shared" si="134"/>
        <v>0</v>
      </c>
      <c r="H333" s="328">
        <f t="shared" si="134"/>
        <v>0</v>
      </c>
    </row>
    <row r="334" spans="1:8" hidden="1" x14ac:dyDescent="0.25">
      <c r="A334" s="366" t="s">
        <v>347</v>
      </c>
      <c r="B334" s="286" t="s">
        <v>179</v>
      </c>
      <c r="C334" s="351"/>
      <c r="D334" s="351"/>
      <c r="E334" s="351"/>
      <c r="F334" s="351"/>
      <c r="G334" s="351"/>
      <c r="H334" s="351"/>
    </row>
    <row r="335" spans="1:8" s="329" customFormat="1" hidden="1" x14ac:dyDescent="0.25">
      <c r="A335" s="392" t="s">
        <v>348</v>
      </c>
      <c r="B335" s="393" t="s">
        <v>180</v>
      </c>
      <c r="C335" s="355">
        <f>C336+C338+C347</f>
        <v>0</v>
      </c>
      <c r="D335" s="355">
        <f>D336+D338+D347</f>
        <v>0</v>
      </c>
      <c r="E335" s="355"/>
      <c r="F335" s="355">
        <f>F336+F338+F347</f>
        <v>0</v>
      </c>
      <c r="G335" s="355">
        <f t="shared" ref="G335:H335" si="135">G336+G338+G347</f>
        <v>0</v>
      </c>
      <c r="H335" s="355">
        <f t="shared" si="135"/>
        <v>0</v>
      </c>
    </row>
    <row r="336" spans="1:8" s="329" customFormat="1" hidden="1" x14ac:dyDescent="0.25">
      <c r="A336" s="364" t="s">
        <v>203</v>
      </c>
      <c r="B336" s="365" t="s">
        <v>204</v>
      </c>
      <c r="C336" s="328">
        <f>C337</f>
        <v>0</v>
      </c>
      <c r="D336" s="328">
        <f>D337</f>
        <v>0</v>
      </c>
      <c r="E336" s="328"/>
      <c r="F336" s="328">
        <f>F337</f>
        <v>0</v>
      </c>
      <c r="G336" s="328">
        <f t="shared" ref="G336:H336" si="136">G337</f>
        <v>0</v>
      </c>
      <c r="H336" s="328">
        <f t="shared" si="136"/>
        <v>0</v>
      </c>
    </row>
    <row r="337" spans="1:8" hidden="1" x14ac:dyDescent="0.25">
      <c r="A337" s="366" t="s">
        <v>205</v>
      </c>
      <c r="B337" s="286" t="s">
        <v>206</v>
      </c>
      <c r="C337" s="351"/>
      <c r="D337" s="351"/>
      <c r="E337" s="351"/>
      <c r="F337" s="351"/>
      <c r="G337" s="351"/>
      <c r="H337" s="351"/>
    </row>
    <row r="338" spans="1:8" s="329" customFormat="1" hidden="1" x14ac:dyDescent="0.25">
      <c r="A338" s="364" t="s">
        <v>220</v>
      </c>
      <c r="B338" s="365" t="s">
        <v>181</v>
      </c>
      <c r="C338" s="328">
        <f>SUM(C339:C344)</f>
        <v>0</v>
      </c>
      <c r="D338" s="328">
        <f>SUM(D339:D344)</f>
        <v>0</v>
      </c>
      <c r="E338" s="328"/>
      <c r="F338" s="328">
        <f>SUM(F339:F344)</f>
        <v>0</v>
      </c>
      <c r="G338" s="328">
        <f t="shared" ref="G338:H338" si="137">SUM(G339:G344)</f>
        <v>0</v>
      </c>
      <c r="H338" s="328">
        <f t="shared" si="137"/>
        <v>0</v>
      </c>
    </row>
    <row r="339" spans="1:8" hidden="1" x14ac:dyDescent="0.25">
      <c r="A339" s="366" t="s">
        <v>182</v>
      </c>
      <c r="B339" s="286" t="s">
        <v>183</v>
      </c>
      <c r="C339" s="394"/>
      <c r="D339" s="394"/>
      <c r="E339" s="394"/>
      <c r="F339" s="394"/>
      <c r="G339" s="394"/>
      <c r="H339" s="394"/>
    </row>
    <row r="340" spans="1:8" hidden="1" x14ac:dyDescent="0.25">
      <c r="A340" s="366" t="s">
        <v>184</v>
      </c>
      <c r="B340" s="286" t="s">
        <v>185</v>
      </c>
      <c r="C340" s="394"/>
      <c r="D340" s="394"/>
      <c r="E340" s="394"/>
      <c r="F340" s="394"/>
      <c r="G340" s="394"/>
      <c r="H340" s="394"/>
    </row>
    <row r="341" spans="1:8" hidden="1" x14ac:dyDescent="0.25">
      <c r="A341" s="366" t="s">
        <v>225</v>
      </c>
      <c r="B341" s="286" t="s">
        <v>186</v>
      </c>
      <c r="C341" s="395"/>
      <c r="D341" s="395"/>
      <c r="E341" s="395"/>
      <c r="F341" s="395"/>
      <c r="G341" s="395"/>
      <c r="H341" s="395"/>
    </row>
    <row r="342" spans="1:8" hidden="1" x14ac:dyDescent="0.25">
      <c r="A342" s="366" t="s">
        <v>226</v>
      </c>
      <c r="B342" s="286" t="s">
        <v>187</v>
      </c>
      <c r="C342" s="395"/>
      <c r="D342" s="395"/>
      <c r="E342" s="395"/>
      <c r="F342" s="395"/>
      <c r="G342" s="395"/>
      <c r="H342" s="395"/>
    </row>
    <row r="343" spans="1:8" hidden="1" x14ac:dyDescent="0.25">
      <c r="A343" s="366" t="s">
        <v>227</v>
      </c>
      <c r="B343" s="237" t="s">
        <v>188</v>
      </c>
      <c r="C343" s="395"/>
      <c r="D343" s="395"/>
      <c r="E343" s="395"/>
      <c r="F343" s="395"/>
      <c r="G343" s="395"/>
      <c r="H343" s="395"/>
    </row>
    <row r="344" spans="1:8" hidden="1" x14ac:dyDescent="0.25">
      <c r="A344" s="366" t="s">
        <v>349</v>
      </c>
      <c r="B344" s="286" t="s">
        <v>189</v>
      </c>
      <c r="C344" s="395"/>
      <c r="D344" s="395"/>
      <c r="E344" s="395"/>
      <c r="F344" s="395"/>
      <c r="G344" s="395"/>
      <c r="H344" s="395"/>
    </row>
    <row r="345" spans="1:8" hidden="1" x14ac:dyDescent="0.25">
      <c r="A345" s="364" t="s">
        <v>350</v>
      </c>
      <c r="B345" s="236" t="s">
        <v>190</v>
      </c>
      <c r="C345" s="153">
        <f>C346</f>
        <v>0</v>
      </c>
      <c r="D345" s="153">
        <f>D346</f>
        <v>0</v>
      </c>
      <c r="E345" s="153"/>
      <c r="F345" s="153">
        <f>F346</f>
        <v>0</v>
      </c>
      <c r="G345" s="153">
        <f t="shared" ref="G345:H345" si="138">G346</f>
        <v>0</v>
      </c>
      <c r="H345" s="153">
        <f t="shared" si="138"/>
        <v>0</v>
      </c>
    </row>
    <row r="346" spans="1:8" hidden="1" x14ac:dyDescent="0.25">
      <c r="A346" s="366" t="s">
        <v>351</v>
      </c>
      <c r="B346" s="237" t="s">
        <v>190</v>
      </c>
      <c r="C346" s="395"/>
      <c r="D346" s="395"/>
      <c r="E346" s="395"/>
      <c r="F346" s="395"/>
      <c r="G346" s="395"/>
      <c r="H346" s="395"/>
    </row>
    <row r="347" spans="1:8" s="329" customFormat="1" hidden="1" x14ac:dyDescent="0.25">
      <c r="A347" s="364" t="s">
        <v>229</v>
      </c>
      <c r="B347" s="365" t="s">
        <v>308</v>
      </c>
      <c r="C347" s="391">
        <f>C348</f>
        <v>0</v>
      </c>
      <c r="D347" s="391">
        <f>D348</f>
        <v>0</v>
      </c>
      <c r="E347" s="391"/>
      <c r="F347" s="391">
        <f>F348</f>
        <v>0</v>
      </c>
      <c r="G347" s="391">
        <f t="shared" ref="G347:H347" si="139">G348</f>
        <v>0</v>
      </c>
      <c r="H347" s="391">
        <f t="shared" si="139"/>
        <v>0</v>
      </c>
    </row>
    <row r="348" spans="1:8" hidden="1" x14ac:dyDescent="0.25">
      <c r="A348" s="366" t="s">
        <v>230</v>
      </c>
      <c r="B348" s="286" t="s">
        <v>352</v>
      </c>
      <c r="C348" s="395"/>
      <c r="D348" s="395"/>
      <c r="E348" s="395"/>
      <c r="F348" s="395"/>
      <c r="G348" s="395"/>
      <c r="H348" s="395"/>
    </row>
    <row r="349" spans="1:8" x14ac:dyDescent="0.25">
      <c r="A349" s="386">
        <v>52</v>
      </c>
      <c r="B349" s="387" t="s">
        <v>677</v>
      </c>
      <c r="C349" s="335">
        <f t="shared" ref="C349:H349" si="140">C350+C376</f>
        <v>0</v>
      </c>
      <c r="D349" s="335">
        <f t="shared" si="140"/>
        <v>0</v>
      </c>
      <c r="E349" s="335">
        <f t="shared" si="140"/>
        <v>68314.61</v>
      </c>
      <c r="F349" s="335">
        <f t="shared" si="140"/>
        <v>68314.61</v>
      </c>
      <c r="G349" s="335">
        <f t="shared" si="140"/>
        <v>68314.61</v>
      </c>
      <c r="H349" s="335">
        <f t="shared" si="140"/>
        <v>68314.61</v>
      </c>
    </row>
    <row r="350" spans="1:8" s="329" customFormat="1" x14ac:dyDescent="0.25">
      <c r="A350" s="388" t="s">
        <v>83</v>
      </c>
      <c r="B350" s="338" t="s">
        <v>84</v>
      </c>
      <c r="C350" s="339">
        <f t="shared" ref="C350:H350" si="141">C351+C362+C373</f>
        <v>0</v>
      </c>
      <c r="D350" s="339">
        <f t="shared" si="141"/>
        <v>0</v>
      </c>
      <c r="E350" s="339">
        <f t="shared" si="141"/>
        <v>68314.61</v>
      </c>
      <c r="F350" s="339">
        <f t="shared" si="141"/>
        <v>68314.61</v>
      </c>
      <c r="G350" s="339">
        <f t="shared" si="141"/>
        <v>68314.61</v>
      </c>
      <c r="H350" s="339">
        <f t="shared" si="141"/>
        <v>68314.61</v>
      </c>
    </row>
    <row r="351" spans="1:8" s="329" customFormat="1" x14ac:dyDescent="0.25">
      <c r="A351" s="362">
        <v>31</v>
      </c>
      <c r="B351" s="363" t="s">
        <v>85</v>
      </c>
      <c r="C351" s="355">
        <f>C352+C357+C359</f>
        <v>0</v>
      </c>
      <c r="D351" s="355">
        <f>D352+D357+D359</f>
        <v>0</v>
      </c>
      <c r="E351" s="355">
        <f>E352+E357+E359</f>
        <v>68314.61</v>
      </c>
      <c r="F351" s="355">
        <f>F352+F357+F359</f>
        <v>68314.61</v>
      </c>
      <c r="G351" s="355">
        <f t="shared" ref="G351:H351" si="142">G352+G357+G359</f>
        <v>68314.61</v>
      </c>
      <c r="H351" s="355">
        <f t="shared" si="142"/>
        <v>68314.61</v>
      </c>
    </row>
    <row r="352" spans="1:8" s="326" customFormat="1" x14ac:dyDescent="0.25">
      <c r="A352" s="364">
        <v>311</v>
      </c>
      <c r="B352" s="365" t="s">
        <v>86</v>
      </c>
      <c r="C352" s="328">
        <f>C353+C355+C356</f>
        <v>0</v>
      </c>
      <c r="D352" s="328">
        <f>D353+D355+D356</f>
        <v>0</v>
      </c>
      <c r="E352" s="328">
        <f>E353+E355+E356</f>
        <v>58639.15</v>
      </c>
      <c r="F352" s="328">
        <f>F353+F355+F356</f>
        <v>58639.15</v>
      </c>
      <c r="G352" s="328">
        <f t="shared" ref="G352:H352" si="143">G353+G355+G356</f>
        <v>58639.15</v>
      </c>
      <c r="H352" s="328">
        <f t="shared" si="143"/>
        <v>58639.15</v>
      </c>
    </row>
    <row r="353" spans="1:8" s="326" customFormat="1" x14ac:dyDescent="0.25">
      <c r="A353" s="364">
        <v>3111</v>
      </c>
      <c r="B353" s="365" t="s">
        <v>87</v>
      </c>
      <c r="C353" s="328">
        <f>SUM(C354)</f>
        <v>0</v>
      </c>
      <c r="D353" s="328">
        <f>SUM(D354)</f>
        <v>0</v>
      </c>
      <c r="E353" s="328">
        <f>SUM(E354)</f>
        <v>58639.15</v>
      </c>
      <c r="F353" s="328">
        <f>SUM(F354)</f>
        <v>58639.15</v>
      </c>
      <c r="G353" s="328">
        <f t="shared" ref="G353:H353" si="144">SUM(G354)</f>
        <v>58639.15</v>
      </c>
      <c r="H353" s="328">
        <f t="shared" si="144"/>
        <v>58639.15</v>
      </c>
    </row>
    <row r="354" spans="1:8" x14ac:dyDescent="0.25">
      <c r="A354" s="366" t="s">
        <v>480</v>
      </c>
      <c r="B354" s="286" t="s">
        <v>87</v>
      </c>
      <c r="C354" s="351">
        <v>0</v>
      </c>
      <c r="D354" s="351"/>
      <c r="E354" s="351">
        <v>58639.15</v>
      </c>
      <c r="F354" s="351">
        <v>58639.15</v>
      </c>
      <c r="G354" s="351">
        <v>58639.15</v>
      </c>
      <c r="H354" s="351">
        <v>58639.15</v>
      </c>
    </row>
    <row r="355" spans="1:8" hidden="1" x14ac:dyDescent="0.25">
      <c r="A355" s="366" t="s">
        <v>90</v>
      </c>
      <c r="B355" s="286" t="s">
        <v>91</v>
      </c>
      <c r="C355" s="351"/>
      <c r="D355" s="351"/>
      <c r="E355" s="351"/>
      <c r="F355" s="351"/>
      <c r="G355" s="351"/>
      <c r="H355" s="351"/>
    </row>
    <row r="356" spans="1:8" hidden="1" x14ac:dyDescent="0.25">
      <c r="A356" s="366" t="s">
        <v>92</v>
      </c>
      <c r="B356" s="213" t="s">
        <v>208</v>
      </c>
      <c r="C356" s="351"/>
      <c r="D356" s="351"/>
      <c r="E356" s="351"/>
      <c r="F356" s="351"/>
      <c r="G356" s="351"/>
      <c r="H356" s="351"/>
    </row>
    <row r="357" spans="1:8" s="329" customFormat="1" hidden="1" x14ac:dyDescent="0.25">
      <c r="A357" s="364" t="s">
        <v>94</v>
      </c>
      <c r="B357" s="365" t="s">
        <v>95</v>
      </c>
      <c r="C357" s="328">
        <f>C358</f>
        <v>0</v>
      </c>
      <c r="D357" s="328">
        <f>D358</f>
        <v>0</v>
      </c>
      <c r="E357" s="328"/>
      <c r="F357" s="328">
        <f>F358</f>
        <v>0</v>
      </c>
      <c r="G357" s="328">
        <f t="shared" ref="G357:H357" si="145">G358</f>
        <v>0</v>
      </c>
      <c r="H357" s="328">
        <f t="shared" si="145"/>
        <v>0</v>
      </c>
    </row>
    <row r="358" spans="1:8" hidden="1" x14ac:dyDescent="0.25">
      <c r="A358" s="366" t="s">
        <v>96</v>
      </c>
      <c r="B358" s="286" t="s">
        <v>95</v>
      </c>
      <c r="C358" s="351"/>
      <c r="D358" s="351"/>
      <c r="E358" s="351"/>
      <c r="F358" s="351"/>
      <c r="G358" s="351"/>
      <c r="H358" s="351"/>
    </row>
    <row r="359" spans="1:8" s="329" customFormat="1" x14ac:dyDescent="0.25">
      <c r="A359" s="364" t="s">
        <v>209</v>
      </c>
      <c r="B359" s="365" t="s">
        <v>97</v>
      </c>
      <c r="C359" s="328">
        <f>C360</f>
        <v>0</v>
      </c>
      <c r="D359" s="328">
        <f>D360</f>
        <v>0</v>
      </c>
      <c r="E359" s="328">
        <f>E360</f>
        <v>9675.4599999999991</v>
      </c>
      <c r="F359" s="328">
        <f>F360</f>
        <v>9675.4599999999991</v>
      </c>
      <c r="G359" s="328">
        <f t="shared" ref="G359:H359" si="146">G360</f>
        <v>9675.4599999999991</v>
      </c>
      <c r="H359" s="328">
        <f t="shared" si="146"/>
        <v>9675.4599999999991</v>
      </c>
    </row>
    <row r="360" spans="1:8" s="329" customFormat="1" x14ac:dyDescent="0.25">
      <c r="A360" s="364" t="s">
        <v>210</v>
      </c>
      <c r="B360" s="365" t="s">
        <v>98</v>
      </c>
      <c r="C360" s="328">
        <f>SUM(C361)</f>
        <v>0</v>
      </c>
      <c r="D360" s="328">
        <f>SUM(D361)</f>
        <v>0</v>
      </c>
      <c r="E360" s="328">
        <f>SUM(E361)</f>
        <v>9675.4599999999991</v>
      </c>
      <c r="F360" s="328">
        <f>SUM(F361)</f>
        <v>9675.4599999999991</v>
      </c>
      <c r="G360" s="328">
        <f t="shared" ref="G360:H360" si="147">SUM(G361)</f>
        <v>9675.4599999999991</v>
      </c>
      <c r="H360" s="328">
        <f t="shared" si="147"/>
        <v>9675.4599999999991</v>
      </c>
    </row>
    <row r="361" spans="1:8" x14ac:dyDescent="0.25">
      <c r="A361" s="366" t="s">
        <v>490</v>
      </c>
      <c r="B361" s="286" t="s">
        <v>98</v>
      </c>
      <c r="C361" s="351">
        <v>0</v>
      </c>
      <c r="D361" s="351"/>
      <c r="E361" s="351">
        <v>9675.4599999999991</v>
      </c>
      <c r="F361" s="351">
        <v>9675.4599999999991</v>
      </c>
      <c r="G361" s="351">
        <v>9675.4599999999991</v>
      </c>
      <c r="H361" s="351">
        <v>9675.4599999999991</v>
      </c>
    </row>
    <row r="362" spans="1:8" s="329" customFormat="1" hidden="1" x14ac:dyDescent="0.25">
      <c r="A362" s="362">
        <v>32</v>
      </c>
      <c r="B362" s="363" t="s">
        <v>99</v>
      </c>
      <c r="C362" s="355">
        <f>C363+C367+C371</f>
        <v>0</v>
      </c>
      <c r="D362" s="355">
        <f>D363+D367+D371</f>
        <v>0</v>
      </c>
      <c r="E362" s="355"/>
      <c r="F362" s="355">
        <f>F363+F367+F371</f>
        <v>0</v>
      </c>
      <c r="G362" s="355">
        <f>G363+G367+G371</f>
        <v>0</v>
      </c>
      <c r="H362" s="355">
        <f>H363+H367+H371</f>
        <v>0</v>
      </c>
    </row>
    <row r="363" spans="1:8" s="329" customFormat="1" hidden="1" x14ac:dyDescent="0.25">
      <c r="A363" s="364" t="s">
        <v>109</v>
      </c>
      <c r="B363" s="365" t="s">
        <v>110</v>
      </c>
      <c r="C363" s="328">
        <f>C364+C365+C366</f>
        <v>0</v>
      </c>
      <c r="D363" s="328">
        <f>D364+D365+D366</f>
        <v>0</v>
      </c>
      <c r="E363" s="328"/>
      <c r="F363" s="328">
        <f>F364+F365+F366</f>
        <v>0</v>
      </c>
      <c r="G363" s="328">
        <f t="shared" ref="G363:H363" si="148">G364+G365+G366</f>
        <v>0</v>
      </c>
      <c r="H363" s="328">
        <f t="shared" si="148"/>
        <v>0</v>
      </c>
    </row>
    <row r="364" spans="1:8" hidden="1" x14ac:dyDescent="0.25">
      <c r="A364" s="366" t="s">
        <v>113</v>
      </c>
      <c r="B364" s="286" t="s">
        <v>114</v>
      </c>
      <c r="C364" s="351"/>
      <c r="D364" s="351"/>
      <c r="E364" s="351"/>
      <c r="F364" s="351"/>
      <c r="G364" s="351"/>
      <c r="H364" s="351"/>
    </row>
    <row r="365" spans="1:8" hidden="1" x14ac:dyDescent="0.25">
      <c r="A365" s="366" t="s">
        <v>115</v>
      </c>
      <c r="B365" s="286" t="s">
        <v>116</v>
      </c>
      <c r="C365" s="351"/>
      <c r="D365" s="351"/>
      <c r="E365" s="351"/>
      <c r="F365" s="351"/>
      <c r="G365" s="351"/>
      <c r="H365" s="351"/>
    </row>
    <row r="366" spans="1:8" hidden="1" x14ac:dyDescent="0.25">
      <c r="A366" s="366" t="s">
        <v>117</v>
      </c>
      <c r="B366" s="286" t="s">
        <v>326</v>
      </c>
      <c r="C366" s="351"/>
      <c r="D366" s="351"/>
      <c r="E366" s="351"/>
      <c r="F366" s="351"/>
      <c r="G366" s="351"/>
      <c r="H366" s="351"/>
    </row>
    <row r="367" spans="1:8" s="329" customFormat="1" hidden="1" x14ac:dyDescent="0.25">
      <c r="A367" s="364" t="s">
        <v>123</v>
      </c>
      <c r="B367" s="365" t="s">
        <v>124</v>
      </c>
      <c r="C367" s="328">
        <f t="shared" ref="C367:H368" si="149">C368</f>
        <v>0</v>
      </c>
      <c r="D367" s="328">
        <f t="shared" si="149"/>
        <v>0</v>
      </c>
      <c r="E367" s="328"/>
      <c r="F367" s="328">
        <f t="shared" si="149"/>
        <v>0</v>
      </c>
      <c r="G367" s="328">
        <f t="shared" si="149"/>
        <v>0</v>
      </c>
      <c r="H367" s="328">
        <f t="shared" si="149"/>
        <v>0</v>
      </c>
    </row>
    <row r="368" spans="1:8" s="329" customFormat="1" hidden="1" x14ac:dyDescent="0.25">
      <c r="A368" s="364" t="s">
        <v>138</v>
      </c>
      <c r="B368" s="365" t="s">
        <v>139</v>
      </c>
      <c r="C368" s="328">
        <f t="shared" si="149"/>
        <v>0</v>
      </c>
      <c r="D368" s="328">
        <f t="shared" si="149"/>
        <v>0</v>
      </c>
      <c r="E368" s="328"/>
      <c r="F368" s="328">
        <f t="shared" si="149"/>
        <v>0</v>
      </c>
      <c r="G368" s="328">
        <f t="shared" si="149"/>
        <v>0</v>
      </c>
      <c r="H368" s="328">
        <f t="shared" si="149"/>
        <v>0</v>
      </c>
    </row>
    <row r="369" spans="1:8" hidden="1" x14ac:dyDescent="0.25">
      <c r="A369" s="366" t="s">
        <v>515</v>
      </c>
      <c r="B369" s="286" t="s">
        <v>311</v>
      </c>
      <c r="C369" s="351"/>
      <c r="D369" s="351"/>
      <c r="E369" s="351"/>
      <c r="F369" s="351"/>
      <c r="G369" s="351"/>
      <c r="H369" s="351"/>
    </row>
    <row r="370" spans="1:8" hidden="1" x14ac:dyDescent="0.25">
      <c r="A370" s="364" t="s">
        <v>216</v>
      </c>
      <c r="B370" s="365" t="s">
        <v>141</v>
      </c>
      <c r="C370" s="328">
        <f>C371</f>
        <v>0</v>
      </c>
      <c r="D370" s="328"/>
      <c r="E370" s="328"/>
      <c r="F370" s="328"/>
      <c r="G370" s="328"/>
      <c r="H370" s="328"/>
    </row>
    <row r="371" spans="1:8" s="329" customFormat="1" hidden="1" x14ac:dyDescent="0.25">
      <c r="A371" s="364" t="s">
        <v>218</v>
      </c>
      <c r="B371" s="365" t="s">
        <v>145</v>
      </c>
      <c r="C371" s="328">
        <f>C372</f>
        <v>0</v>
      </c>
      <c r="D371" s="328">
        <f>D372</f>
        <v>0</v>
      </c>
      <c r="E371" s="328"/>
      <c r="F371" s="328">
        <f>F372</f>
        <v>0</v>
      </c>
      <c r="G371" s="328">
        <f>G372</f>
        <v>0</v>
      </c>
      <c r="H371" s="328">
        <f>H372</f>
        <v>0</v>
      </c>
    </row>
    <row r="372" spans="1:8" hidden="1" x14ac:dyDescent="0.25">
      <c r="A372" s="366" t="s">
        <v>569</v>
      </c>
      <c r="B372" s="286" t="s">
        <v>145</v>
      </c>
      <c r="C372" s="351"/>
      <c r="D372" s="351"/>
      <c r="E372" s="351"/>
      <c r="F372" s="351"/>
      <c r="G372" s="351"/>
      <c r="H372" s="351"/>
    </row>
    <row r="373" spans="1:8" s="329" customFormat="1" hidden="1" x14ac:dyDescent="0.25">
      <c r="A373" s="364" t="s">
        <v>162</v>
      </c>
      <c r="B373" s="365" t="s">
        <v>344</v>
      </c>
      <c r="C373" s="328">
        <f t="shared" ref="C373:H374" si="150">C374</f>
        <v>0</v>
      </c>
      <c r="D373" s="328">
        <f t="shared" si="150"/>
        <v>0</v>
      </c>
      <c r="E373" s="328"/>
      <c r="F373" s="328">
        <f t="shared" si="150"/>
        <v>0</v>
      </c>
      <c r="G373" s="328">
        <f t="shared" si="150"/>
        <v>0</v>
      </c>
      <c r="H373" s="328">
        <f t="shared" si="150"/>
        <v>0</v>
      </c>
    </row>
    <row r="374" spans="1:8" s="329" customFormat="1" hidden="1" x14ac:dyDescent="0.25">
      <c r="A374" s="364" t="s">
        <v>338</v>
      </c>
      <c r="B374" s="365" t="s">
        <v>166</v>
      </c>
      <c r="C374" s="328">
        <f t="shared" si="150"/>
        <v>0</v>
      </c>
      <c r="D374" s="328">
        <f t="shared" si="150"/>
        <v>0</v>
      </c>
      <c r="E374" s="328"/>
      <c r="F374" s="328">
        <f t="shared" si="150"/>
        <v>0</v>
      </c>
      <c r="G374" s="328">
        <f t="shared" si="150"/>
        <v>0</v>
      </c>
      <c r="H374" s="328">
        <f t="shared" si="150"/>
        <v>0</v>
      </c>
    </row>
    <row r="375" spans="1:8" hidden="1" x14ac:dyDescent="0.25">
      <c r="A375" s="366" t="s">
        <v>353</v>
      </c>
      <c r="B375" s="286" t="s">
        <v>354</v>
      </c>
      <c r="C375" s="351"/>
      <c r="D375" s="351"/>
      <c r="E375" s="351"/>
      <c r="F375" s="351"/>
      <c r="G375" s="351"/>
      <c r="H375" s="351"/>
    </row>
    <row r="376" spans="1:8" hidden="1" x14ac:dyDescent="0.25">
      <c r="A376" s="398" t="s">
        <v>345</v>
      </c>
      <c r="B376" s="338" t="s">
        <v>171</v>
      </c>
      <c r="C376" s="339">
        <f>C377+C382</f>
        <v>0</v>
      </c>
      <c r="D376" s="339">
        <f>D377+D382</f>
        <v>0</v>
      </c>
      <c r="E376" s="339"/>
      <c r="F376" s="339">
        <f>F377+F382</f>
        <v>0</v>
      </c>
      <c r="G376" s="339">
        <f t="shared" ref="G376:H376" si="151">G377+G382</f>
        <v>0</v>
      </c>
      <c r="H376" s="339">
        <f t="shared" si="151"/>
        <v>0</v>
      </c>
    </row>
    <row r="377" spans="1:8" hidden="1" x14ac:dyDescent="0.25">
      <c r="A377" s="392" t="s">
        <v>193</v>
      </c>
      <c r="B377" s="363" t="s">
        <v>194</v>
      </c>
      <c r="C377" s="355">
        <f>C378</f>
        <v>0</v>
      </c>
      <c r="D377" s="355">
        <f>D378</f>
        <v>0</v>
      </c>
      <c r="E377" s="355"/>
      <c r="F377" s="355">
        <f>F378</f>
        <v>0</v>
      </c>
      <c r="G377" s="355">
        <f t="shared" ref="G377:H377" si="152">G378</f>
        <v>0</v>
      </c>
      <c r="H377" s="355">
        <f t="shared" si="152"/>
        <v>0</v>
      </c>
    </row>
    <row r="378" spans="1:8" hidden="1" x14ac:dyDescent="0.25">
      <c r="A378" s="364" t="s">
        <v>195</v>
      </c>
      <c r="B378" s="380" t="s">
        <v>196</v>
      </c>
      <c r="C378" s="328">
        <f>C379+C380+C381</f>
        <v>0</v>
      </c>
      <c r="D378" s="328">
        <f>D379+D380+D381</f>
        <v>0</v>
      </c>
      <c r="E378" s="328"/>
      <c r="F378" s="328">
        <f>F379+F380+F381</f>
        <v>0</v>
      </c>
      <c r="G378" s="328">
        <f t="shared" ref="G378:H378" si="153">G379+G380+G381</f>
        <v>0</v>
      </c>
      <c r="H378" s="328">
        <f t="shared" si="153"/>
        <v>0</v>
      </c>
    </row>
    <row r="379" spans="1:8" hidden="1" x14ac:dyDescent="0.25">
      <c r="A379" s="366" t="s">
        <v>197</v>
      </c>
      <c r="B379" s="389" t="s">
        <v>196</v>
      </c>
      <c r="C379" s="351"/>
      <c r="D379" s="351"/>
      <c r="E379" s="351"/>
      <c r="F379" s="351"/>
      <c r="G379" s="351"/>
      <c r="H379" s="351"/>
    </row>
    <row r="380" spans="1:8" hidden="1" x14ac:dyDescent="0.25">
      <c r="A380" s="366" t="s">
        <v>226</v>
      </c>
      <c r="B380" s="389" t="s">
        <v>187</v>
      </c>
      <c r="C380" s="351"/>
      <c r="D380" s="351"/>
      <c r="E380" s="351"/>
      <c r="F380" s="351"/>
      <c r="G380" s="351"/>
      <c r="H380" s="351"/>
    </row>
    <row r="381" spans="1:8" hidden="1" x14ac:dyDescent="0.25">
      <c r="A381" s="366" t="s">
        <v>349</v>
      </c>
      <c r="B381" s="389" t="s">
        <v>189</v>
      </c>
      <c r="C381" s="351"/>
      <c r="D381" s="351"/>
      <c r="E381" s="351"/>
      <c r="F381" s="351"/>
      <c r="G381" s="351"/>
      <c r="H381" s="351"/>
    </row>
    <row r="382" spans="1:8" s="329" customFormat="1" hidden="1" x14ac:dyDescent="0.25">
      <c r="A382" s="362" t="s">
        <v>193</v>
      </c>
      <c r="B382" s="381" t="s">
        <v>194</v>
      </c>
      <c r="C382" s="355">
        <f>C383</f>
        <v>0</v>
      </c>
      <c r="D382" s="355">
        <f>D383</f>
        <v>0</v>
      </c>
      <c r="E382" s="355"/>
      <c r="F382" s="355">
        <f>F383</f>
        <v>0</v>
      </c>
      <c r="G382" s="355">
        <f t="shared" ref="G382:H382" si="154">G383</f>
        <v>0</v>
      </c>
      <c r="H382" s="355">
        <f t="shared" si="154"/>
        <v>0</v>
      </c>
    </row>
    <row r="383" spans="1:8" hidden="1" x14ac:dyDescent="0.25">
      <c r="A383" s="364" t="s">
        <v>195</v>
      </c>
      <c r="B383" s="365" t="s">
        <v>196</v>
      </c>
      <c r="C383" s="328"/>
      <c r="D383" s="328"/>
      <c r="E383" s="328"/>
      <c r="F383" s="328"/>
      <c r="G383" s="328"/>
      <c r="H383" s="328"/>
    </row>
    <row r="384" spans="1:8" hidden="1" x14ac:dyDescent="0.25">
      <c r="A384" s="366" t="s">
        <v>197</v>
      </c>
      <c r="B384" s="286" t="s">
        <v>196</v>
      </c>
      <c r="C384" s="351"/>
      <c r="D384" s="351"/>
      <c r="E384" s="351"/>
      <c r="F384" s="351"/>
      <c r="G384" s="351"/>
      <c r="H384" s="351"/>
    </row>
    <row r="385" spans="1:8" s="329" customFormat="1" hidden="1" x14ac:dyDescent="0.25">
      <c r="A385" s="386">
        <v>52</v>
      </c>
      <c r="B385" s="387" t="s">
        <v>224</v>
      </c>
      <c r="C385" s="335"/>
      <c r="D385" s="335"/>
      <c r="E385" s="335"/>
      <c r="F385" s="335"/>
      <c r="G385" s="335"/>
      <c r="H385" s="335"/>
    </row>
    <row r="386" spans="1:8" s="329" customFormat="1" hidden="1" x14ac:dyDescent="0.25">
      <c r="A386" s="388" t="s">
        <v>83</v>
      </c>
      <c r="B386" s="338" t="s">
        <v>84</v>
      </c>
      <c r="C386" s="339"/>
      <c r="D386" s="339"/>
      <c r="E386" s="339"/>
      <c r="F386" s="339"/>
      <c r="G386" s="339"/>
      <c r="H386" s="339"/>
    </row>
    <row r="387" spans="1:8" s="329" customFormat="1" hidden="1" x14ac:dyDescent="0.25">
      <c r="A387" s="362">
        <v>31</v>
      </c>
      <c r="B387" s="363" t="s">
        <v>85</v>
      </c>
      <c r="C387" s="355"/>
      <c r="D387" s="355"/>
      <c r="E387" s="355"/>
      <c r="F387" s="355"/>
      <c r="G387" s="355"/>
      <c r="H387" s="355"/>
    </row>
    <row r="388" spans="1:8" s="329" customFormat="1" hidden="1" x14ac:dyDescent="0.25">
      <c r="A388" s="364">
        <v>311</v>
      </c>
      <c r="B388" s="365" t="s">
        <v>86</v>
      </c>
      <c r="C388" s="328"/>
      <c r="D388" s="328"/>
      <c r="E388" s="328"/>
      <c r="F388" s="328"/>
      <c r="G388" s="328"/>
      <c r="H388" s="328"/>
    </row>
    <row r="389" spans="1:8" hidden="1" x14ac:dyDescent="0.25">
      <c r="A389" s="366">
        <v>3111</v>
      </c>
      <c r="B389" s="286" t="s">
        <v>87</v>
      </c>
      <c r="C389" s="351"/>
      <c r="D389" s="351"/>
      <c r="E389" s="351"/>
      <c r="F389" s="351"/>
      <c r="G389" s="351"/>
      <c r="H389" s="351"/>
    </row>
    <row r="390" spans="1:8" s="329" customFormat="1" hidden="1" x14ac:dyDescent="0.25">
      <c r="A390" s="364" t="s">
        <v>209</v>
      </c>
      <c r="B390" s="365" t="s">
        <v>97</v>
      </c>
      <c r="C390" s="328"/>
      <c r="D390" s="328"/>
      <c r="E390" s="328"/>
      <c r="F390" s="328"/>
      <c r="G390" s="328"/>
      <c r="H390" s="328"/>
    </row>
    <row r="391" spans="1:8" hidden="1" x14ac:dyDescent="0.25">
      <c r="A391" s="366" t="s">
        <v>210</v>
      </c>
      <c r="B391" s="286" t="s">
        <v>98</v>
      </c>
      <c r="C391" s="351"/>
      <c r="D391" s="351"/>
      <c r="E391" s="351"/>
      <c r="F391" s="351"/>
      <c r="G391" s="351"/>
      <c r="H391" s="351"/>
    </row>
    <row r="392" spans="1:8" x14ac:dyDescent="0.25">
      <c r="A392" s="386" t="s">
        <v>72</v>
      </c>
      <c r="B392" s="387" t="s">
        <v>73</v>
      </c>
      <c r="C392" s="335">
        <f>C393+C405</f>
        <v>0</v>
      </c>
      <c r="D392" s="335">
        <f>D393+D405</f>
        <v>0</v>
      </c>
      <c r="E392" s="335">
        <f>E393+E405</f>
        <v>2000</v>
      </c>
      <c r="F392" s="335">
        <f>F393+F405</f>
        <v>2000</v>
      </c>
      <c r="G392" s="335">
        <f t="shared" ref="G392:H392" si="155">G393+G405</f>
        <v>2220</v>
      </c>
      <c r="H392" s="335">
        <f t="shared" si="155"/>
        <v>2440.4</v>
      </c>
    </row>
    <row r="393" spans="1:8" s="329" customFormat="1" x14ac:dyDescent="0.25">
      <c r="A393" s="388" t="s">
        <v>83</v>
      </c>
      <c r="B393" s="338" t="s">
        <v>84</v>
      </c>
      <c r="C393" s="339">
        <f>C394</f>
        <v>0</v>
      </c>
      <c r="D393" s="339">
        <f>D394</f>
        <v>0</v>
      </c>
      <c r="E393" s="339">
        <f>E394</f>
        <v>2000</v>
      </c>
      <c r="F393" s="339">
        <f>F394</f>
        <v>2000</v>
      </c>
      <c r="G393" s="339">
        <f t="shared" ref="G393:H393" si="156">G394</f>
        <v>2220</v>
      </c>
      <c r="H393" s="339">
        <f t="shared" si="156"/>
        <v>2440.4</v>
      </c>
    </row>
    <row r="394" spans="1:8" s="329" customFormat="1" x14ac:dyDescent="0.25">
      <c r="A394" s="362">
        <v>32</v>
      </c>
      <c r="B394" s="363" t="s">
        <v>99</v>
      </c>
      <c r="C394" s="355">
        <f>C395+C400</f>
        <v>0</v>
      </c>
      <c r="D394" s="355">
        <f>D395+D400</f>
        <v>0</v>
      </c>
      <c r="E394" s="355">
        <f>E395+E400+E402</f>
        <v>2000</v>
      </c>
      <c r="F394" s="355">
        <f>F395+F400+F402</f>
        <v>2000</v>
      </c>
      <c r="G394" s="355">
        <f t="shared" ref="G394:H394" si="157">G395+G400+G402</f>
        <v>2220</v>
      </c>
      <c r="H394" s="355">
        <f t="shared" si="157"/>
        <v>2440.4</v>
      </c>
    </row>
    <row r="395" spans="1:8" s="326" customFormat="1" x14ac:dyDescent="0.25">
      <c r="A395" s="364">
        <v>321</v>
      </c>
      <c r="B395" s="365" t="s">
        <v>100</v>
      </c>
      <c r="C395" s="328">
        <f>C396+C399</f>
        <v>0</v>
      </c>
      <c r="D395" s="328">
        <f>D396+D399</f>
        <v>0</v>
      </c>
      <c r="E395" s="328">
        <f>E396+E399</f>
        <v>1000</v>
      </c>
      <c r="F395" s="328">
        <f>F396+F399</f>
        <v>1000</v>
      </c>
      <c r="G395" s="328">
        <f t="shared" ref="G395:H395" si="158">G396+G399</f>
        <v>1200</v>
      </c>
      <c r="H395" s="328">
        <f t="shared" si="158"/>
        <v>1400</v>
      </c>
    </row>
    <row r="396" spans="1:8" s="326" customFormat="1" x14ac:dyDescent="0.25">
      <c r="A396" s="364" t="s">
        <v>101</v>
      </c>
      <c r="B396" s="365" t="s">
        <v>102</v>
      </c>
      <c r="C396" s="328">
        <f>SUM(C397:C398)</f>
        <v>0</v>
      </c>
      <c r="D396" s="328">
        <f>SUM(D397:D398)</f>
        <v>0</v>
      </c>
      <c r="E396" s="328">
        <f>SUM(E397:E398)</f>
        <v>1000</v>
      </c>
      <c r="F396" s="328">
        <f>SUM(F397:F398)</f>
        <v>1000</v>
      </c>
      <c r="G396" s="328">
        <f t="shared" ref="G396:H396" si="159">SUM(G397:G398)</f>
        <v>1200</v>
      </c>
      <c r="H396" s="328">
        <f t="shared" si="159"/>
        <v>1400</v>
      </c>
    </row>
    <row r="397" spans="1:8" s="326" customFormat="1" x14ac:dyDescent="0.25">
      <c r="A397" s="366" t="s">
        <v>521</v>
      </c>
      <c r="B397" s="286" t="s">
        <v>403</v>
      </c>
      <c r="C397" s="351"/>
      <c r="D397" s="351"/>
      <c r="E397" s="351">
        <v>500</v>
      </c>
      <c r="F397" s="351">
        <v>500</v>
      </c>
      <c r="G397" s="351">
        <v>600</v>
      </c>
      <c r="H397" s="351">
        <v>700</v>
      </c>
    </row>
    <row r="398" spans="1:8" s="342" customFormat="1" x14ac:dyDescent="0.25">
      <c r="A398" s="366" t="s">
        <v>510</v>
      </c>
      <c r="B398" s="286" t="s">
        <v>406</v>
      </c>
      <c r="C398" s="351"/>
      <c r="D398" s="351"/>
      <c r="E398" s="351">
        <v>500</v>
      </c>
      <c r="F398" s="351">
        <v>500</v>
      </c>
      <c r="G398" s="351">
        <v>600</v>
      </c>
      <c r="H398" s="351">
        <v>700</v>
      </c>
    </row>
    <row r="399" spans="1:8" hidden="1" x14ac:dyDescent="0.25">
      <c r="A399" s="364" t="s">
        <v>105</v>
      </c>
      <c r="B399" s="365" t="s">
        <v>106</v>
      </c>
      <c r="C399" s="328"/>
      <c r="D399" s="328"/>
      <c r="E399" s="328"/>
      <c r="F399" s="328"/>
      <c r="G399" s="328"/>
      <c r="H399" s="328"/>
    </row>
    <row r="400" spans="1:8" s="329" customFormat="1" hidden="1" x14ac:dyDescent="0.25">
      <c r="A400" s="364" t="s">
        <v>109</v>
      </c>
      <c r="B400" s="365" t="s">
        <v>110</v>
      </c>
      <c r="C400" s="328">
        <f>C401</f>
        <v>0</v>
      </c>
      <c r="D400" s="328">
        <f>D401</f>
        <v>0</v>
      </c>
      <c r="E400" s="328"/>
      <c r="F400" s="328">
        <f>F401</f>
        <v>0</v>
      </c>
      <c r="G400" s="328">
        <f t="shared" ref="G400:H400" si="160">G401</f>
        <v>0</v>
      </c>
      <c r="H400" s="328">
        <f t="shared" si="160"/>
        <v>0</v>
      </c>
    </row>
    <row r="401" spans="1:8" hidden="1" x14ac:dyDescent="0.25">
      <c r="A401" s="364" t="s">
        <v>113</v>
      </c>
      <c r="B401" s="365" t="s">
        <v>114</v>
      </c>
      <c r="C401" s="328"/>
      <c r="D401" s="328"/>
      <c r="E401" s="328"/>
      <c r="F401" s="328"/>
      <c r="G401" s="328"/>
      <c r="H401" s="328"/>
    </row>
    <row r="402" spans="1:8" x14ac:dyDescent="0.25">
      <c r="A402" s="364" t="s">
        <v>579</v>
      </c>
      <c r="B402" s="365" t="s">
        <v>633</v>
      </c>
      <c r="C402" s="328">
        <f t="shared" ref="C402:H403" si="161">C403</f>
        <v>0</v>
      </c>
      <c r="D402" s="328">
        <f t="shared" si="161"/>
        <v>0</v>
      </c>
      <c r="E402" s="328">
        <f t="shared" si="161"/>
        <v>1000</v>
      </c>
      <c r="F402" s="328">
        <f t="shared" si="161"/>
        <v>1000</v>
      </c>
      <c r="G402" s="328">
        <f t="shared" si="161"/>
        <v>1020</v>
      </c>
      <c r="H402" s="328">
        <f t="shared" si="161"/>
        <v>1040.4000000000001</v>
      </c>
    </row>
    <row r="403" spans="1:8" x14ac:dyDescent="0.25">
      <c r="A403" s="364" t="s">
        <v>580</v>
      </c>
      <c r="B403" s="373" t="s">
        <v>633</v>
      </c>
      <c r="C403" s="328">
        <f t="shared" si="161"/>
        <v>0</v>
      </c>
      <c r="D403" s="328">
        <f t="shared" si="161"/>
        <v>0</v>
      </c>
      <c r="E403" s="328">
        <f t="shared" si="161"/>
        <v>1000</v>
      </c>
      <c r="F403" s="328">
        <f t="shared" si="161"/>
        <v>1000</v>
      </c>
      <c r="G403" s="328">
        <f t="shared" si="161"/>
        <v>1020</v>
      </c>
      <c r="H403" s="328">
        <f t="shared" si="161"/>
        <v>1040.4000000000001</v>
      </c>
    </row>
    <row r="404" spans="1:8" x14ac:dyDescent="0.25">
      <c r="A404" s="366" t="s">
        <v>582</v>
      </c>
      <c r="B404" s="374" t="s">
        <v>584</v>
      </c>
      <c r="C404" s="351"/>
      <c r="D404" s="351"/>
      <c r="E404" s="351">
        <v>1000</v>
      </c>
      <c r="F404" s="351">
        <v>1000</v>
      </c>
      <c r="G404" s="351">
        <v>1020</v>
      </c>
      <c r="H404" s="351">
        <v>1040.4000000000001</v>
      </c>
    </row>
    <row r="405" spans="1:8" hidden="1" x14ac:dyDescent="0.25">
      <c r="A405" s="398" t="s">
        <v>345</v>
      </c>
      <c r="B405" s="338" t="s">
        <v>171</v>
      </c>
      <c r="C405" s="339">
        <f t="shared" ref="C405:H406" si="162">C406</f>
        <v>0</v>
      </c>
      <c r="D405" s="339">
        <f t="shared" si="162"/>
        <v>0</v>
      </c>
      <c r="E405" s="339"/>
      <c r="F405" s="339">
        <f t="shared" si="162"/>
        <v>0</v>
      </c>
      <c r="G405" s="339">
        <f t="shared" si="162"/>
        <v>0</v>
      </c>
      <c r="H405" s="339">
        <f t="shared" si="162"/>
        <v>0</v>
      </c>
    </row>
    <row r="406" spans="1:8" s="329" customFormat="1" hidden="1" x14ac:dyDescent="0.25">
      <c r="A406" s="362">
        <v>42</v>
      </c>
      <c r="B406" s="363" t="s">
        <v>180</v>
      </c>
      <c r="C406" s="355">
        <f t="shared" si="162"/>
        <v>0</v>
      </c>
      <c r="D406" s="355">
        <f t="shared" si="162"/>
        <v>0</v>
      </c>
      <c r="E406" s="355"/>
      <c r="F406" s="355">
        <f t="shared" si="162"/>
        <v>0</v>
      </c>
      <c r="G406" s="355">
        <f t="shared" si="162"/>
        <v>0</v>
      </c>
      <c r="H406" s="355">
        <f t="shared" si="162"/>
        <v>0</v>
      </c>
    </row>
    <row r="407" spans="1:8" s="329" customFormat="1" hidden="1" x14ac:dyDescent="0.25">
      <c r="A407" s="364">
        <v>422</v>
      </c>
      <c r="B407" s="365" t="s">
        <v>181</v>
      </c>
      <c r="C407" s="328">
        <f>SUM(C408:C410)</f>
        <v>0</v>
      </c>
      <c r="D407" s="328">
        <f>SUM(D408:D410)</f>
        <v>0</v>
      </c>
      <c r="E407" s="328"/>
      <c r="F407" s="328">
        <f>SUM(F408:F410)</f>
        <v>0</v>
      </c>
      <c r="G407" s="328">
        <f t="shared" ref="G407:H407" si="163">SUM(G408:G410)</f>
        <v>0</v>
      </c>
      <c r="H407" s="328">
        <f t="shared" si="163"/>
        <v>0</v>
      </c>
    </row>
    <row r="408" spans="1:8" s="342" customFormat="1" hidden="1" x14ac:dyDescent="0.25">
      <c r="A408" s="366" t="s">
        <v>182</v>
      </c>
      <c r="B408" s="286" t="s">
        <v>183</v>
      </c>
      <c r="C408" s="351"/>
      <c r="D408" s="351"/>
      <c r="E408" s="351"/>
      <c r="F408" s="351"/>
      <c r="G408" s="351"/>
      <c r="H408" s="351"/>
    </row>
    <row r="409" spans="1:8" hidden="1" x14ac:dyDescent="0.25">
      <c r="A409" s="366" t="s">
        <v>226</v>
      </c>
      <c r="B409" s="286" t="s">
        <v>187</v>
      </c>
      <c r="C409" s="351"/>
      <c r="D409" s="351"/>
      <c r="E409" s="351"/>
      <c r="F409" s="351"/>
      <c r="G409" s="351"/>
      <c r="H409" s="351"/>
    </row>
    <row r="410" spans="1:8" hidden="1" x14ac:dyDescent="0.25">
      <c r="A410" s="366" t="s">
        <v>227</v>
      </c>
      <c r="B410" s="286" t="s">
        <v>188</v>
      </c>
      <c r="C410" s="351"/>
      <c r="D410" s="351"/>
      <c r="E410" s="351"/>
      <c r="F410" s="351"/>
      <c r="G410" s="351"/>
      <c r="H410" s="351"/>
    </row>
    <row r="411" spans="1:8" s="329" customFormat="1" ht="31.5" x14ac:dyDescent="0.25">
      <c r="A411" s="386" t="s">
        <v>231</v>
      </c>
      <c r="B411" s="399" t="s">
        <v>232</v>
      </c>
      <c r="C411" s="335">
        <f t="shared" ref="C411:H411" si="164">C412+C424</f>
        <v>0</v>
      </c>
      <c r="D411" s="335">
        <f t="shared" si="164"/>
        <v>0</v>
      </c>
      <c r="E411" s="335">
        <f t="shared" si="164"/>
        <v>11800</v>
      </c>
      <c r="F411" s="335">
        <f t="shared" si="164"/>
        <v>11800</v>
      </c>
      <c r="G411" s="335">
        <f t="shared" si="164"/>
        <v>11750</v>
      </c>
      <c r="H411" s="335">
        <f t="shared" si="164"/>
        <v>12000</v>
      </c>
    </row>
    <row r="412" spans="1:8" s="329" customFormat="1" x14ac:dyDescent="0.25">
      <c r="A412" s="388" t="s">
        <v>83</v>
      </c>
      <c r="B412" s="338" t="s">
        <v>84</v>
      </c>
      <c r="C412" s="339">
        <f>C413</f>
        <v>0</v>
      </c>
      <c r="D412" s="339">
        <f>D413</f>
        <v>0</v>
      </c>
      <c r="E412" s="339">
        <f t="shared" ref="E412:F412" si="165">E413</f>
        <v>11800</v>
      </c>
      <c r="F412" s="339">
        <f t="shared" si="165"/>
        <v>11800</v>
      </c>
      <c r="G412" s="339">
        <f t="shared" ref="G412" si="166">G413</f>
        <v>11750</v>
      </c>
      <c r="H412" s="339">
        <f t="shared" ref="H412" si="167">H413</f>
        <v>12000</v>
      </c>
    </row>
    <row r="413" spans="1:8" s="329" customFormat="1" x14ac:dyDescent="0.25">
      <c r="A413" s="362">
        <v>32</v>
      </c>
      <c r="B413" s="363" t="s">
        <v>99</v>
      </c>
      <c r="C413" s="355">
        <f t="shared" ref="C413:H413" si="168">C414+C417+C421</f>
        <v>0</v>
      </c>
      <c r="D413" s="355">
        <f t="shared" si="168"/>
        <v>0</v>
      </c>
      <c r="E413" s="355">
        <f t="shared" si="168"/>
        <v>11800</v>
      </c>
      <c r="F413" s="355">
        <f t="shared" si="168"/>
        <v>11800</v>
      </c>
      <c r="G413" s="355">
        <f t="shared" si="168"/>
        <v>11750</v>
      </c>
      <c r="H413" s="355">
        <f t="shared" si="168"/>
        <v>12000</v>
      </c>
    </row>
    <row r="414" spans="1:8" s="329" customFormat="1" hidden="1" x14ac:dyDescent="0.25">
      <c r="A414" s="364" t="s">
        <v>109</v>
      </c>
      <c r="B414" s="380" t="s">
        <v>110</v>
      </c>
      <c r="C414" s="328">
        <f>C415+C416</f>
        <v>0</v>
      </c>
      <c r="D414" s="328">
        <f>D415+D416</f>
        <v>0</v>
      </c>
      <c r="E414" s="328">
        <f t="shared" ref="E414:F414" si="169">E415+E416</f>
        <v>0</v>
      </c>
      <c r="F414" s="328">
        <f t="shared" si="169"/>
        <v>0</v>
      </c>
      <c r="G414" s="328">
        <f t="shared" ref="G414" si="170">G415+G416</f>
        <v>0</v>
      </c>
      <c r="H414" s="328">
        <f t="shared" ref="H414" si="171">H415+H416</f>
        <v>0</v>
      </c>
    </row>
    <row r="415" spans="1:8" hidden="1" x14ac:dyDescent="0.25">
      <c r="A415" s="364" t="s">
        <v>113</v>
      </c>
      <c r="B415" s="380" t="s">
        <v>110</v>
      </c>
      <c r="C415" s="328"/>
      <c r="D415" s="328"/>
      <c r="E415" s="328"/>
      <c r="F415" s="328"/>
      <c r="G415" s="328"/>
      <c r="H415" s="328"/>
    </row>
    <row r="416" spans="1:8" hidden="1" x14ac:dyDescent="0.25">
      <c r="A416" s="364" t="s">
        <v>117</v>
      </c>
      <c r="B416" s="380" t="s">
        <v>326</v>
      </c>
      <c r="C416" s="328"/>
      <c r="D416" s="328"/>
      <c r="E416" s="328"/>
      <c r="F416" s="328"/>
      <c r="G416" s="328"/>
      <c r="H416" s="328"/>
    </row>
    <row r="417" spans="1:8" s="329" customFormat="1" x14ac:dyDescent="0.25">
      <c r="A417" s="364" t="s">
        <v>123</v>
      </c>
      <c r="B417" s="365" t="s">
        <v>124</v>
      </c>
      <c r="C417" s="328">
        <f>C418+C419</f>
        <v>0</v>
      </c>
      <c r="D417" s="328">
        <f>D418+D419</f>
        <v>0</v>
      </c>
      <c r="E417" s="328">
        <f>E418+E419</f>
        <v>1300</v>
      </c>
      <c r="F417" s="328">
        <f>F418+F419</f>
        <v>1300</v>
      </c>
      <c r="G417" s="328">
        <f t="shared" ref="G417:H417" si="172">G418+G419</f>
        <v>1500</v>
      </c>
      <c r="H417" s="328">
        <f t="shared" si="172"/>
        <v>1500</v>
      </c>
    </row>
    <row r="418" spans="1:8" hidden="1" x14ac:dyDescent="0.25">
      <c r="A418" s="364" t="s">
        <v>127</v>
      </c>
      <c r="B418" s="365" t="s">
        <v>128</v>
      </c>
      <c r="C418" s="328"/>
      <c r="D418" s="328"/>
      <c r="E418" s="328"/>
      <c r="F418" s="328"/>
      <c r="G418" s="328"/>
      <c r="H418" s="328"/>
    </row>
    <row r="419" spans="1:8" x14ac:dyDescent="0.25">
      <c r="A419" s="364" t="s">
        <v>131</v>
      </c>
      <c r="B419" s="365" t="s">
        <v>132</v>
      </c>
      <c r="C419" s="328">
        <f t="shared" ref="C419:H419" si="173">C420</f>
        <v>0</v>
      </c>
      <c r="D419" s="328">
        <f t="shared" si="173"/>
        <v>0</v>
      </c>
      <c r="E419" s="328">
        <f t="shared" si="173"/>
        <v>1300</v>
      </c>
      <c r="F419" s="328">
        <f t="shared" si="173"/>
        <v>1300</v>
      </c>
      <c r="G419" s="328">
        <f t="shared" si="173"/>
        <v>1500</v>
      </c>
      <c r="H419" s="328">
        <f t="shared" si="173"/>
        <v>1500</v>
      </c>
    </row>
    <row r="420" spans="1:8" x14ac:dyDescent="0.25">
      <c r="A420" s="366" t="s">
        <v>602</v>
      </c>
      <c r="B420" s="286" t="s">
        <v>605</v>
      </c>
      <c r="C420" s="351"/>
      <c r="D420" s="351"/>
      <c r="E420" s="351">
        <v>1300</v>
      </c>
      <c r="F420" s="351">
        <v>1300</v>
      </c>
      <c r="G420" s="351">
        <v>1500</v>
      </c>
      <c r="H420" s="351">
        <v>1500</v>
      </c>
    </row>
    <row r="421" spans="1:8" s="329" customFormat="1" x14ac:dyDescent="0.25">
      <c r="A421" s="364" t="s">
        <v>216</v>
      </c>
      <c r="B421" s="365" t="s">
        <v>217</v>
      </c>
      <c r="C421" s="328">
        <f>C422</f>
        <v>0</v>
      </c>
      <c r="D421" s="328">
        <f>D422</f>
        <v>0</v>
      </c>
      <c r="E421" s="328">
        <f t="shared" ref="E421:F422" si="174">E422</f>
        <v>10500</v>
      </c>
      <c r="F421" s="328">
        <f t="shared" si="174"/>
        <v>10500</v>
      </c>
      <c r="G421" s="328">
        <f t="shared" ref="G421:G422" si="175">G422</f>
        <v>10250</v>
      </c>
      <c r="H421" s="328">
        <f t="shared" ref="H421:H422" si="176">H422</f>
        <v>10500</v>
      </c>
    </row>
    <row r="422" spans="1:8" x14ac:dyDescent="0.25">
      <c r="A422" s="364" t="s">
        <v>228</v>
      </c>
      <c r="B422" s="365" t="s">
        <v>144</v>
      </c>
      <c r="C422" s="328">
        <f>C423</f>
        <v>0</v>
      </c>
      <c r="D422" s="328">
        <f>D423</f>
        <v>0</v>
      </c>
      <c r="E422" s="328">
        <f t="shared" si="174"/>
        <v>10500</v>
      </c>
      <c r="F422" s="328">
        <f t="shared" si="174"/>
        <v>10500</v>
      </c>
      <c r="G422" s="328">
        <f t="shared" si="175"/>
        <v>10250</v>
      </c>
      <c r="H422" s="328">
        <f t="shared" si="176"/>
        <v>10500</v>
      </c>
    </row>
    <row r="423" spans="1:8" x14ac:dyDescent="0.25">
      <c r="A423" s="366" t="s">
        <v>516</v>
      </c>
      <c r="B423" s="286" t="s">
        <v>517</v>
      </c>
      <c r="C423" s="351"/>
      <c r="D423" s="351"/>
      <c r="E423" s="351">
        <v>10500</v>
      </c>
      <c r="F423" s="351">
        <f>5000+5500</f>
        <v>10500</v>
      </c>
      <c r="G423" s="351">
        <f>5750+4500</f>
        <v>10250</v>
      </c>
      <c r="H423" s="351">
        <f>6000+4500</f>
        <v>10500</v>
      </c>
    </row>
    <row r="424" spans="1:8" s="329" customFormat="1" hidden="1" x14ac:dyDescent="0.25">
      <c r="A424" s="462" t="s">
        <v>345</v>
      </c>
      <c r="B424" s="338" t="s">
        <v>171</v>
      </c>
      <c r="C424" s="339">
        <f>C425</f>
        <v>0</v>
      </c>
      <c r="D424" s="339">
        <f>D425</f>
        <v>0</v>
      </c>
      <c r="E424" s="339"/>
      <c r="F424" s="339">
        <f>F425</f>
        <v>0</v>
      </c>
      <c r="G424" s="339">
        <f t="shared" ref="G424:H424" si="177">G425</f>
        <v>0</v>
      </c>
      <c r="H424" s="339">
        <f t="shared" si="177"/>
        <v>0</v>
      </c>
    </row>
    <row r="425" spans="1:8" s="326" customFormat="1" hidden="1" x14ac:dyDescent="0.25">
      <c r="A425" s="362">
        <v>42</v>
      </c>
      <c r="B425" s="363" t="s">
        <v>180</v>
      </c>
      <c r="C425" s="355">
        <f>C428+C426</f>
        <v>0</v>
      </c>
      <c r="D425" s="355">
        <f>D428+D426</f>
        <v>0</v>
      </c>
      <c r="E425" s="355"/>
      <c r="F425" s="355">
        <f>F428+F426</f>
        <v>0</v>
      </c>
      <c r="G425" s="355">
        <f t="shared" ref="G425:H425" si="178">G428+G426</f>
        <v>0</v>
      </c>
      <c r="H425" s="355">
        <f t="shared" si="178"/>
        <v>0</v>
      </c>
    </row>
    <row r="426" spans="1:8" s="326" customFormat="1" hidden="1" x14ac:dyDescent="0.25">
      <c r="A426" s="364" t="s">
        <v>203</v>
      </c>
      <c r="B426" s="365" t="s">
        <v>204</v>
      </c>
      <c r="C426" s="328">
        <f>C427</f>
        <v>0</v>
      </c>
      <c r="D426" s="328">
        <f>D427</f>
        <v>0</v>
      </c>
      <c r="E426" s="328"/>
      <c r="F426" s="328">
        <f>F427</f>
        <v>0</v>
      </c>
      <c r="G426" s="328">
        <f t="shared" ref="G426:H426" si="179">G427</f>
        <v>0</v>
      </c>
      <c r="H426" s="328">
        <f t="shared" si="179"/>
        <v>0</v>
      </c>
    </row>
    <row r="427" spans="1:8" s="342" customFormat="1" hidden="1" x14ac:dyDescent="0.25">
      <c r="A427" s="364" t="s">
        <v>205</v>
      </c>
      <c r="B427" s="365" t="s">
        <v>206</v>
      </c>
      <c r="C427" s="328"/>
      <c r="D427" s="328"/>
      <c r="E427" s="328"/>
      <c r="F427" s="328"/>
      <c r="G427" s="328"/>
      <c r="H427" s="328"/>
    </row>
    <row r="428" spans="1:8" s="329" customFormat="1" hidden="1" x14ac:dyDescent="0.25">
      <c r="A428" s="364">
        <v>422</v>
      </c>
      <c r="B428" s="365" t="s">
        <v>181</v>
      </c>
      <c r="C428" s="328">
        <f>SUM(C429:C431)</f>
        <v>0</v>
      </c>
      <c r="D428" s="328">
        <f>SUM(D429:D431)</f>
        <v>0</v>
      </c>
      <c r="E428" s="328"/>
      <c r="F428" s="328">
        <f>SUM(F429:F431)</f>
        <v>0</v>
      </c>
      <c r="G428" s="328">
        <f t="shared" ref="G428:H428" si="180">SUM(G429:G431)</f>
        <v>0</v>
      </c>
      <c r="H428" s="328">
        <f t="shared" si="180"/>
        <v>0</v>
      </c>
    </row>
    <row r="429" spans="1:8" hidden="1" x14ac:dyDescent="0.25">
      <c r="A429" s="364" t="s">
        <v>182</v>
      </c>
      <c r="B429" s="365" t="s">
        <v>183</v>
      </c>
      <c r="C429" s="328"/>
      <c r="D429" s="328"/>
      <c r="E429" s="328"/>
      <c r="F429" s="328"/>
      <c r="G429" s="328"/>
      <c r="H429" s="328"/>
    </row>
    <row r="430" spans="1:8" hidden="1" x14ac:dyDescent="0.25">
      <c r="A430" s="364" t="s">
        <v>184</v>
      </c>
      <c r="B430" s="365" t="s">
        <v>185</v>
      </c>
      <c r="C430" s="328"/>
      <c r="D430" s="328"/>
      <c r="E430" s="328"/>
      <c r="F430" s="328"/>
      <c r="G430" s="328"/>
      <c r="H430" s="328"/>
    </row>
    <row r="431" spans="1:8" hidden="1" x14ac:dyDescent="0.25">
      <c r="A431" s="364" t="s">
        <v>226</v>
      </c>
      <c r="B431" s="365" t="s">
        <v>187</v>
      </c>
      <c r="C431" s="328">
        <f>SUM(C432)</f>
        <v>0</v>
      </c>
      <c r="D431" s="328">
        <f>SUM(D432)</f>
        <v>0</v>
      </c>
      <c r="E431" s="328"/>
      <c r="F431" s="328">
        <f>SUM(F432)</f>
        <v>0</v>
      </c>
      <c r="G431" s="328">
        <f t="shared" ref="G431:H431" si="181">SUM(G432)</f>
        <v>0</v>
      </c>
      <c r="H431" s="328">
        <f t="shared" si="181"/>
        <v>0</v>
      </c>
    </row>
    <row r="432" spans="1:8" hidden="1" x14ac:dyDescent="0.25">
      <c r="A432" s="366" t="s">
        <v>518</v>
      </c>
      <c r="B432" s="286" t="s">
        <v>465</v>
      </c>
      <c r="C432" s="351"/>
      <c r="D432" s="351"/>
      <c r="E432" s="351"/>
      <c r="F432" s="351"/>
      <c r="G432" s="351"/>
      <c r="H432" s="351"/>
    </row>
    <row r="433" spans="1:8" x14ac:dyDescent="0.25">
      <c r="A433" s="386" t="s">
        <v>355</v>
      </c>
      <c r="B433" s="387" t="s">
        <v>356</v>
      </c>
      <c r="C433" s="335">
        <f>C434+C466</f>
        <v>0</v>
      </c>
      <c r="D433" s="335">
        <f>D434+D466</f>
        <v>0</v>
      </c>
      <c r="E433" s="335">
        <f>E434</f>
        <v>150000</v>
      </c>
      <c r="F433" s="335">
        <f>F434</f>
        <v>150000</v>
      </c>
      <c r="G433" s="335">
        <f t="shared" ref="G433:H444" si="182">G434</f>
        <v>150000</v>
      </c>
      <c r="H433" s="335">
        <f t="shared" si="182"/>
        <v>150000</v>
      </c>
    </row>
    <row r="434" spans="1:8" x14ac:dyDescent="0.25">
      <c r="A434" s="462" t="s">
        <v>83</v>
      </c>
      <c r="B434" s="463" t="s">
        <v>84</v>
      </c>
      <c r="C434" s="339">
        <f>C442+C448</f>
        <v>0</v>
      </c>
      <c r="D434" s="339">
        <f>D442+D448</f>
        <v>0</v>
      </c>
      <c r="E434" s="339">
        <f>E435+E442</f>
        <v>150000</v>
      </c>
      <c r="F434" s="339">
        <f>F442</f>
        <v>150000</v>
      </c>
      <c r="G434" s="339">
        <f>G442</f>
        <v>150000</v>
      </c>
      <c r="H434" s="339">
        <f>H442</f>
        <v>150000</v>
      </c>
    </row>
    <row r="435" spans="1:8" x14ac:dyDescent="0.25">
      <c r="A435" s="362">
        <v>31</v>
      </c>
      <c r="B435" s="363" t="s">
        <v>85</v>
      </c>
      <c r="C435" s="355"/>
      <c r="D435" s="355"/>
      <c r="E435" s="355">
        <f>E436+E439</f>
        <v>87604.33</v>
      </c>
      <c r="F435" s="355"/>
      <c r="G435" s="355"/>
      <c r="H435" s="355"/>
    </row>
    <row r="436" spans="1:8" x14ac:dyDescent="0.25">
      <c r="A436" s="477" t="s">
        <v>94</v>
      </c>
      <c r="B436" s="478" t="s">
        <v>95</v>
      </c>
      <c r="C436" s="479"/>
      <c r="D436" s="479"/>
      <c r="E436" s="479">
        <f>E437</f>
        <v>6396.59</v>
      </c>
      <c r="F436" s="479"/>
      <c r="G436" s="479"/>
      <c r="H436" s="479"/>
    </row>
    <row r="437" spans="1:8" x14ac:dyDescent="0.25">
      <c r="A437" s="477" t="s">
        <v>96</v>
      </c>
      <c r="B437" s="478" t="s">
        <v>95</v>
      </c>
      <c r="C437" s="479"/>
      <c r="D437" s="479"/>
      <c r="E437" s="479">
        <f>E438</f>
        <v>6396.59</v>
      </c>
      <c r="F437" s="479"/>
      <c r="G437" s="479"/>
      <c r="H437" s="479"/>
    </row>
    <row r="438" spans="1:8" x14ac:dyDescent="0.25">
      <c r="A438" s="480" t="s">
        <v>489</v>
      </c>
      <c r="B438" s="481" t="s">
        <v>397</v>
      </c>
      <c r="C438" s="482"/>
      <c r="D438" s="482"/>
      <c r="E438" s="482">
        <v>6396.59</v>
      </c>
      <c r="F438" s="482"/>
      <c r="G438" s="482"/>
      <c r="H438" s="482"/>
    </row>
    <row r="439" spans="1:8" s="342" customFormat="1" x14ac:dyDescent="0.25">
      <c r="A439" s="483">
        <v>313</v>
      </c>
      <c r="B439" s="484" t="s">
        <v>97</v>
      </c>
      <c r="C439" s="479"/>
      <c r="D439" s="479"/>
      <c r="E439" s="479">
        <f>E440</f>
        <v>81207.740000000005</v>
      </c>
      <c r="F439" s="479"/>
      <c r="G439" s="479"/>
      <c r="H439" s="479"/>
    </row>
    <row r="440" spans="1:8" s="342" customFormat="1" x14ac:dyDescent="0.25">
      <c r="A440" s="483" t="s">
        <v>210</v>
      </c>
      <c r="B440" s="484" t="s">
        <v>98</v>
      </c>
      <c r="C440" s="479"/>
      <c r="D440" s="479"/>
      <c r="E440" s="479">
        <f>E441</f>
        <v>81207.740000000005</v>
      </c>
      <c r="F440" s="479"/>
      <c r="G440" s="479"/>
      <c r="H440" s="479"/>
    </row>
    <row r="441" spans="1:8" s="342" customFormat="1" x14ac:dyDescent="0.25">
      <c r="A441" s="480" t="s">
        <v>490</v>
      </c>
      <c r="B441" s="481" t="s">
        <v>98</v>
      </c>
      <c r="C441" s="482"/>
      <c r="D441" s="482"/>
      <c r="E441" s="482">
        <v>81207.740000000005</v>
      </c>
      <c r="F441" s="482"/>
      <c r="G441" s="482"/>
      <c r="H441" s="482"/>
    </row>
    <row r="442" spans="1:8" s="342" customFormat="1" x14ac:dyDescent="0.25">
      <c r="A442" s="377">
        <v>32</v>
      </c>
      <c r="B442" s="461" t="s">
        <v>668</v>
      </c>
      <c r="C442" s="379"/>
      <c r="D442" s="379"/>
      <c r="E442" s="379">
        <f t="shared" ref="E442:F444" si="183">E443</f>
        <v>62395.67</v>
      </c>
      <c r="F442" s="379">
        <f t="shared" si="183"/>
        <v>150000</v>
      </c>
      <c r="G442" s="379">
        <f t="shared" si="182"/>
        <v>150000</v>
      </c>
      <c r="H442" s="379">
        <f t="shared" si="182"/>
        <v>150000</v>
      </c>
    </row>
    <row r="443" spans="1:8" s="342" customFormat="1" x14ac:dyDescent="0.25">
      <c r="A443" s="295">
        <v>322</v>
      </c>
      <c r="B443" s="373" t="s">
        <v>110</v>
      </c>
      <c r="C443" s="368"/>
      <c r="D443" s="368"/>
      <c r="E443" s="368">
        <f t="shared" si="183"/>
        <v>62395.67</v>
      </c>
      <c r="F443" s="368">
        <f t="shared" si="183"/>
        <v>150000</v>
      </c>
      <c r="G443" s="368">
        <f t="shared" si="182"/>
        <v>150000</v>
      </c>
      <c r="H443" s="368">
        <f t="shared" si="182"/>
        <v>150000</v>
      </c>
    </row>
    <row r="444" spans="1:8" s="342" customFormat="1" x14ac:dyDescent="0.25">
      <c r="A444" s="295">
        <v>3222</v>
      </c>
      <c r="B444" s="373" t="s">
        <v>114</v>
      </c>
      <c r="C444" s="368"/>
      <c r="D444" s="368"/>
      <c r="E444" s="368">
        <f t="shared" si="183"/>
        <v>62395.67</v>
      </c>
      <c r="F444" s="368">
        <f t="shared" si="183"/>
        <v>150000</v>
      </c>
      <c r="G444" s="368">
        <f t="shared" si="182"/>
        <v>150000</v>
      </c>
      <c r="H444" s="368">
        <f t="shared" si="182"/>
        <v>150000</v>
      </c>
    </row>
    <row r="445" spans="1:8" s="326" customFormat="1" x14ac:dyDescent="0.25">
      <c r="A445" s="292">
        <v>32225</v>
      </c>
      <c r="B445" s="374" t="s">
        <v>594</v>
      </c>
      <c r="C445" s="367"/>
      <c r="D445" s="367"/>
      <c r="E445" s="367">
        <v>62395.67</v>
      </c>
      <c r="F445" s="367">
        <v>150000</v>
      </c>
      <c r="G445" s="367">
        <v>150000</v>
      </c>
      <c r="H445" s="367">
        <v>150000</v>
      </c>
    </row>
    <row r="446" spans="1:8" s="342" customFormat="1" x14ac:dyDescent="0.25">
      <c r="A446" s="401" t="s">
        <v>318</v>
      </c>
      <c r="B446" s="402" t="s">
        <v>674</v>
      </c>
      <c r="C446" s="332">
        <f t="shared" ref="C446:D446" si="184">C447</f>
        <v>0</v>
      </c>
      <c r="D446" s="332">
        <f t="shared" si="184"/>
        <v>0</v>
      </c>
      <c r="E446" s="332">
        <f>E447</f>
        <v>700000</v>
      </c>
      <c r="F446" s="332">
        <f t="shared" ref="F446:H446" si="185">F447</f>
        <v>1071228</v>
      </c>
      <c r="G446" s="332">
        <f t="shared" si="185"/>
        <v>1071228</v>
      </c>
      <c r="H446" s="332">
        <f t="shared" si="185"/>
        <v>1071228</v>
      </c>
    </row>
    <row r="447" spans="1:8" s="326" customFormat="1" x14ac:dyDescent="0.25">
      <c r="A447" s="386" t="s">
        <v>355</v>
      </c>
      <c r="B447" s="387" t="s">
        <v>356</v>
      </c>
      <c r="C447" s="335">
        <f>C448+C478</f>
        <v>0</v>
      </c>
      <c r="D447" s="335">
        <f>D448+D478</f>
        <v>0</v>
      </c>
      <c r="E447" s="335">
        <f>E448+E478</f>
        <v>700000</v>
      </c>
      <c r="F447" s="335">
        <f t="shared" ref="F447:H447" si="186">F448+F478</f>
        <v>1071228</v>
      </c>
      <c r="G447" s="335">
        <f t="shared" si="186"/>
        <v>1071228</v>
      </c>
      <c r="H447" s="335">
        <f t="shared" si="186"/>
        <v>1071228</v>
      </c>
    </row>
    <row r="448" spans="1:8" s="342" customFormat="1" x14ac:dyDescent="0.25">
      <c r="A448" s="462" t="s">
        <v>83</v>
      </c>
      <c r="B448" s="463" t="s">
        <v>84</v>
      </c>
      <c r="C448" s="339">
        <f t="shared" ref="C448:D448" si="187">C449+C458</f>
        <v>0</v>
      </c>
      <c r="D448" s="339">
        <f t="shared" si="187"/>
        <v>0</v>
      </c>
      <c r="E448" s="339">
        <f>E449+E458</f>
        <v>424600</v>
      </c>
      <c r="F448" s="339">
        <f>F449+F458</f>
        <v>301725.00999999995</v>
      </c>
      <c r="G448" s="339">
        <f t="shared" ref="G448:H448" si="188">G449+G458</f>
        <v>301725.00999999995</v>
      </c>
      <c r="H448" s="339">
        <f t="shared" si="188"/>
        <v>301725.00999999995</v>
      </c>
    </row>
    <row r="449" spans="1:8" s="342" customFormat="1" hidden="1" x14ac:dyDescent="0.25">
      <c r="A449" s="362">
        <v>31</v>
      </c>
      <c r="B449" s="363" t="s">
        <v>85</v>
      </c>
      <c r="C449" s="355">
        <f t="shared" ref="C449:D449" si="189">C450+C453+C455</f>
        <v>0</v>
      </c>
      <c r="D449" s="355">
        <f t="shared" si="189"/>
        <v>0</v>
      </c>
      <c r="E449" s="355"/>
      <c r="F449" s="355">
        <f>F450+F453+F455</f>
        <v>0</v>
      </c>
      <c r="G449" s="355">
        <f t="shared" ref="G449:H449" si="190">G450+G453+G455</f>
        <v>0</v>
      </c>
      <c r="H449" s="355">
        <f t="shared" si="190"/>
        <v>0</v>
      </c>
    </row>
    <row r="450" spans="1:8" s="342" customFormat="1" hidden="1" x14ac:dyDescent="0.25">
      <c r="A450" s="364">
        <v>311</v>
      </c>
      <c r="B450" s="365" t="s">
        <v>86</v>
      </c>
      <c r="C450" s="328">
        <f t="shared" ref="C450:D450" si="191">C451+C452</f>
        <v>0</v>
      </c>
      <c r="D450" s="328">
        <f t="shared" si="191"/>
        <v>0</v>
      </c>
      <c r="E450" s="328"/>
      <c r="F450" s="328">
        <f>F451+F452</f>
        <v>0</v>
      </c>
      <c r="G450" s="328">
        <f t="shared" ref="G450:H450" si="192">G451+G452</f>
        <v>0</v>
      </c>
      <c r="H450" s="328">
        <f t="shared" si="192"/>
        <v>0</v>
      </c>
    </row>
    <row r="451" spans="1:8" s="342" customFormat="1" hidden="1" x14ac:dyDescent="0.25">
      <c r="A451" s="366">
        <v>3111</v>
      </c>
      <c r="B451" s="286" t="s">
        <v>87</v>
      </c>
      <c r="C451" s="351"/>
      <c r="D451" s="351"/>
      <c r="E451" s="351"/>
      <c r="F451" s="351"/>
      <c r="G451" s="351"/>
      <c r="H451" s="351"/>
    </row>
    <row r="452" spans="1:8" s="342" customFormat="1" hidden="1" x14ac:dyDescent="0.25">
      <c r="A452" s="366" t="s">
        <v>92</v>
      </c>
      <c r="B452" s="286" t="s">
        <v>208</v>
      </c>
      <c r="C452" s="351"/>
      <c r="D452" s="351"/>
      <c r="E452" s="351"/>
      <c r="F452" s="351"/>
      <c r="G452" s="351"/>
      <c r="H452" s="351"/>
    </row>
    <row r="453" spans="1:8" s="342" customFormat="1" hidden="1" x14ac:dyDescent="0.25">
      <c r="A453" s="364" t="s">
        <v>94</v>
      </c>
      <c r="B453" s="365" t="s">
        <v>95</v>
      </c>
      <c r="C453" s="328">
        <f t="shared" ref="C453:D453" si="193">C454</f>
        <v>0</v>
      </c>
      <c r="D453" s="328">
        <f t="shared" si="193"/>
        <v>0</v>
      </c>
      <c r="E453" s="328"/>
      <c r="F453" s="328">
        <f>F454</f>
        <v>0</v>
      </c>
      <c r="G453" s="328">
        <f t="shared" ref="G453:H453" si="194">G454</f>
        <v>0</v>
      </c>
      <c r="H453" s="328">
        <f t="shared" si="194"/>
        <v>0</v>
      </c>
    </row>
    <row r="454" spans="1:8" hidden="1" x14ac:dyDescent="0.25">
      <c r="A454" s="366" t="s">
        <v>96</v>
      </c>
      <c r="B454" s="286" t="s">
        <v>95</v>
      </c>
      <c r="C454" s="351"/>
      <c r="D454" s="351"/>
      <c r="E454" s="351"/>
      <c r="F454" s="351"/>
      <c r="G454" s="351"/>
      <c r="H454" s="351"/>
    </row>
    <row r="455" spans="1:8" s="329" customFormat="1" hidden="1" x14ac:dyDescent="0.25">
      <c r="A455" s="369">
        <v>313</v>
      </c>
      <c r="B455" s="365" t="s">
        <v>97</v>
      </c>
      <c r="C455" s="328">
        <f t="shared" ref="C455:D455" si="195">C456+C457</f>
        <v>0</v>
      </c>
      <c r="D455" s="328">
        <f t="shared" si="195"/>
        <v>0</v>
      </c>
      <c r="E455" s="328"/>
      <c r="F455" s="328">
        <f>F456+F457</f>
        <v>0</v>
      </c>
      <c r="G455" s="328">
        <f t="shared" ref="G455:H455" si="196">G456+G457</f>
        <v>0</v>
      </c>
      <c r="H455" s="328">
        <f t="shared" si="196"/>
        <v>0</v>
      </c>
    </row>
    <row r="456" spans="1:8" hidden="1" x14ac:dyDescent="0.25">
      <c r="A456" s="370" t="s">
        <v>222</v>
      </c>
      <c r="B456" s="286" t="s">
        <v>223</v>
      </c>
      <c r="C456" s="351"/>
      <c r="D456" s="351"/>
      <c r="E456" s="351"/>
      <c r="F456" s="351"/>
      <c r="G456" s="351"/>
      <c r="H456" s="351"/>
    </row>
    <row r="457" spans="1:8" s="329" customFormat="1" hidden="1" x14ac:dyDescent="0.25">
      <c r="A457" s="370">
        <v>3132</v>
      </c>
      <c r="B457" s="286" t="s">
        <v>98</v>
      </c>
      <c r="C457" s="351"/>
      <c r="D457" s="351"/>
      <c r="E457" s="351"/>
      <c r="F457" s="351"/>
      <c r="G457" s="351"/>
      <c r="H457" s="351"/>
    </row>
    <row r="458" spans="1:8" x14ac:dyDescent="0.25">
      <c r="A458" s="362">
        <v>32</v>
      </c>
      <c r="B458" s="363" t="s">
        <v>99</v>
      </c>
      <c r="C458" s="355">
        <f>C459+C463+C467</f>
        <v>0</v>
      </c>
      <c r="D458" s="355">
        <f t="shared" ref="D458" si="197">D459+D463+D465+D467</f>
        <v>0</v>
      </c>
      <c r="E458" s="355">
        <f>E459+E463+E467</f>
        <v>424600</v>
      </c>
      <c r="F458" s="355">
        <f>F459+F463+F467</f>
        <v>301725.00999999995</v>
      </c>
      <c r="G458" s="355">
        <f t="shared" ref="G458:H458" si="198">G459+G463+G467</f>
        <v>301725.00999999995</v>
      </c>
      <c r="H458" s="355">
        <f t="shared" si="198"/>
        <v>301725.00999999995</v>
      </c>
    </row>
    <row r="459" spans="1:8" s="329" customFormat="1" hidden="1" x14ac:dyDescent="0.25">
      <c r="A459" s="364">
        <v>321</v>
      </c>
      <c r="B459" s="365" t="s">
        <v>100</v>
      </c>
      <c r="C459" s="328">
        <f t="shared" ref="C459:D459" si="199">SUM(C460:C462)</f>
        <v>0</v>
      </c>
      <c r="D459" s="328">
        <f t="shared" si="199"/>
        <v>0</v>
      </c>
      <c r="E459" s="328"/>
      <c r="F459" s="328">
        <f>SUM(F460:F462)</f>
        <v>0</v>
      </c>
      <c r="G459" s="328">
        <f t="shared" ref="G459:H459" si="200">SUM(G460:G462)</f>
        <v>0</v>
      </c>
      <c r="H459" s="328">
        <f t="shared" si="200"/>
        <v>0</v>
      </c>
    </row>
    <row r="460" spans="1:8" s="329" customFormat="1" hidden="1" x14ac:dyDescent="0.25">
      <c r="A460" s="366" t="s">
        <v>101</v>
      </c>
      <c r="B460" s="286" t="s">
        <v>102</v>
      </c>
      <c r="C460" s="351"/>
      <c r="D460" s="351"/>
      <c r="E460" s="351"/>
      <c r="F460" s="351"/>
      <c r="G460" s="351"/>
      <c r="H460" s="351"/>
    </row>
    <row r="461" spans="1:8" s="329" customFormat="1" hidden="1" x14ac:dyDescent="0.25">
      <c r="A461" s="366" t="s">
        <v>103</v>
      </c>
      <c r="B461" s="287" t="s">
        <v>104</v>
      </c>
      <c r="C461" s="351"/>
      <c r="D461" s="351"/>
      <c r="E461" s="351"/>
      <c r="F461" s="351"/>
      <c r="G461" s="351"/>
      <c r="H461" s="351"/>
    </row>
    <row r="462" spans="1:8" s="329" customFormat="1" hidden="1" x14ac:dyDescent="0.25">
      <c r="A462" s="366" t="s">
        <v>105</v>
      </c>
      <c r="B462" s="287" t="s">
        <v>106</v>
      </c>
      <c r="C462" s="351"/>
      <c r="D462" s="351"/>
      <c r="E462" s="351"/>
      <c r="F462" s="351"/>
      <c r="G462" s="351"/>
      <c r="H462" s="351"/>
    </row>
    <row r="463" spans="1:8" x14ac:dyDescent="0.25">
      <c r="A463" s="364" t="s">
        <v>109</v>
      </c>
      <c r="B463" s="288" t="s">
        <v>110</v>
      </c>
      <c r="C463" s="328">
        <f>C465</f>
        <v>0</v>
      </c>
      <c r="D463" s="328">
        <f t="shared" ref="D463" si="201">D464</f>
        <v>0</v>
      </c>
      <c r="E463" s="328">
        <f>E465</f>
        <v>15000</v>
      </c>
      <c r="F463" s="328">
        <f>F465</f>
        <v>4692.1000000000004</v>
      </c>
      <c r="G463" s="328">
        <f t="shared" ref="G463:H463" si="202">G465</f>
        <v>4692.1000000000004</v>
      </c>
      <c r="H463" s="328">
        <f t="shared" si="202"/>
        <v>4692.1000000000004</v>
      </c>
    </row>
    <row r="464" spans="1:8" hidden="1" x14ac:dyDescent="0.25">
      <c r="A464" s="366" t="s">
        <v>115</v>
      </c>
      <c r="B464" s="287" t="s">
        <v>116</v>
      </c>
      <c r="C464" s="351"/>
      <c r="D464" s="351"/>
      <c r="E464" s="351"/>
      <c r="F464" s="351"/>
      <c r="G464" s="351"/>
      <c r="H464" s="351"/>
    </row>
    <row r="465" spans="1:8" x14ac:dyDescent="0.25">
      <c r="A465" s="364" t="s">
        <v>117</v>
      </c>
      <c r="B465" s="288" t="s">
        <v>118</v>
      </c>
      <c r="C465" s="328">
        <f>C466</f>
        <v>0</v>
      </c>
      <c r="D465" s="328">
        <f t="shared" ref="D465:H465" si="203">D466</f>
        <v>0</v>
      </c>
      <c r="E465" s="328">
        <f t="shared" si="203"/>
        <v>15000</v>
      </c>
      <c r="F465" s="328">
        <f t="shared" si="203"/>
        <v>4692.1000000000004</v>
      </c>
      <c r="G465" s="328">
        <f t="shared" si="203"/>
        <v>4692.1000000000004</v>
      </c>
      <c r="H465" s="328">
        <f t="shared" si="203"/>
        <v>4692.1000000000004</v>
      </c>
    </row>
    <row r="466" spans="1:8" x14ac:dyDescent="0.25">
      <c r="A466" s="366">
        <v>32241</v>
      </c>
      <c r="B466" s="286" t="s">
        <v>422</v>
      </c>
      <c r="C466" s="351"/>
      <c r="D466" s="351">
        <v>0</v>
      </c>
      <c r="E466" s="351">
        <v>15000</v>
      </c>
      <c r="F466" s="351">
        <v>4692.1000000000004</v>
      </c>
      <c r="G466" s="351">
        <v>4692.1000000000004</v>
      </c>
      <c r="H466" s="351">
        <v>4692.1000000000004</v>
      </c>
    </row>
    <row r="467" spans="1:8" x14ac:dyDescent="0.25">
      <c r="A467" s="364" t="s">
        <v>123</v>
      </c>
      <c r="B467" s="288" t="s">
        <v>124</v>
      </c>
      <c r="C467" s="328">
        <f t="shared" ref="C467:D467" si="204">C468+C473+C474+C475</f>
        <v>0</v>
      </c>
      <c r="D467" s="328">
        <f t="shared" si="204"/>
        <v>0</v>
      </c>
      <c r="E467" s="328">
        <f>E468+E473+E474+E475</f>
        <v>409600</v>
      </c>
      <c r="F467" s="328">
        <f>F468+F473+F474+F475</f>
        <v>297032.90999999997</v>
      </c>
      <c r="G467" s="328">
        <f t="shared" ref="G467:H467" si="205">G468+G473+G474+G475</f>
        <v>297032.90999999997</v>
      </c>
      <c r="H467" s="328">
        <f t="shared" si="205"/>
        <v>297032.90999999997</v>
      </c>
    </row>
    <row r="468" spans="1:8" x14ac:dyDescent="0.25">
      <c r="A468" s="364" t="s">
        <v>127</v>
      </c>
      <c r="B468" s="288" t="s">
        <v>128</v>
      </c>
      <c r="C468" s="328">
        <f t="shared" ref="C468:D468" si="206">SUM(C469:C471)</f>
        <v>0</v>
      </c>
      <c r="D468" s="328">
        <f t="shared" si="206"/>
        <v>0</v>
      </c>
      <c r="E468" s="328">
        <f>SUM(E469:E472)</f>
        <v>315175</v>
      </c>
      <c r="F468" s="328">
        <f>SUM(F469:F472)</f>
        <v>224043.74</v>
      </c>
      <c r="G468" s="328">
        <f t="shared" ref="G468:H468" si="207">SUM(G469:G472)</f>
        <v>224043.74</v>
      </c>
      <c r="H468" s="328">
        <f t="shared" si="207"/>
        <v>224043.74</v>
      </c>
    </row>
    <row r="469" spans="1:8" x14ac:dyDescent="0.25">
      <c r="A469" s="366">
        <v>32321</v>
      </c>
      <c r="B469" s="287" t="s">
        <v>429</v>
      </c>
      <c r="C469" s="351"/>
      <c r="D469" s="351"/>
      <c r="E469" s="351">
        <v>87500</v>
      </c>
      <c r="F469" s="351">
        <v>224043.74</v>
      </c>
      <c r="G469" s="351">
        <v>224043.74</v>
      </c>
      <c r="H469" s="351">
        <v>224043.74</v>
      </c>
    </row>
    <row r="470" spans="1:8" x14ac:dyDescent="0.25">
      <c r="A470" s="366">
        <v>32322</v>
      </c>
      <c r="B470" s="287" t="s">
        <v>430</v>
      </c>
      <c r="C470" s="351"/>
      <c r="D470" s="351"/>
      <c r="E470" s="351">
        <v>177675</v>
      </c>
      <c r="F470" s="351"/>
      <c r="G470" s="351"/>
      <c r="H470" s="351"/>
    </row>
    <row r="471" spans="1:8" x14ac:dyDescent="0.25">
      <c r="A471" s="366">
        <v>32323</v>
      </c>
      <c r="B471" s="287" t="s">
        <v>428</v>
      </c>
      <c r="C471" s="351"/>
      <c r="D471" s="351"/>
      <c r="E471" s="351">
        <v>30000</v>
      </c>
      <c r="F471" s="351"/>
      <c r="G471" s="476"/>
      <c r="H471" s="351"/>
    </row>
    <row r="472" spans="1:8" x14ac:dyDescent="0.25">
      <c r="A472" s="366" t="s">
        <v>598</v>
      </c>
      <c r="B472" s="287" t="s">
        <v>599</v>
      </c>
      <c r="C472" s="351"/>
      <c r="D472" s="351"/>
      <c r="E472" s="351">
        <v>20000</v>
      </c>
      <c r="F472" s="351"/>
      <c r="G472" s="352"/>
      <c r="H472" s="351"/>
    </row>
    <row r="473" spans="1:8" hidden="1" x14ac:dyDescent="0.25">
      <c r="A473" s="364" t="s">
        <v>129</v>
      </c>
      <c r="B473" s="288" t="s">
        <v>130</v>
      </c>
      <c r="C473" s="328"/>
      <c r="D473" s="328"/>
      <c r="E473" s="328"/>
      <c r="F473" s="328"/>
      <c r="G473" s="328"/>
      <c r="H473" s="328"/>
    </row>
    <row r="474" spans="1:8" hidden="1" x14ac:dyDescent="0.25">
      <c r="A474" s="364" t="s">
        <v>215</v>
      </c>
      <c r="B474" s="288" t="s">
        <v>135</v>
      </c>
      <c r="C474" s="328"/>
      <c r="D474" s="328"/>
      <c r="E474" s="328"/>
      <c r="F474" s="328"/>
      <c r="G474" s="328"/>
      <c r="H474" s="328"/>
    </row>
    <row r="475" spans="1:8" x14ac:dyDescent="0.25">
      <c r="A475" s="364" t="s">
        <v>136</v>
      </c>
      <c r="B475" s="288" t="s">
        <v>137</v>
      </c>
      <c r="C475" s="328">
        <f t="shared" ref="C475:D475" si="208">SUM(C477)</f>
        <v>0</v>
      </c>
      <c r="D475" s="328">
        <f t="shared" si="208"/>
        <v>0</v>
      </c>
      <c r="E475" s="328">
        <f>SUM(E476:E477)</f>
        <v>94425</v>
      </c>
      <c r="F475" s="328">
        <f t="shared" ref="F475:H475" si="209">SUM(F476:F477)</f>
        <v>72989.17</v>
      </c>
      <c r="G475" s="328">
        <f t="shared" si="209"/>
        <v>72989.17</v>
      </c>
      <c r="H475" s="328">
        <f t="shared" si="209"/>
        <v>72989.17</v>
      </c>
    </row>
    <row r="476" spans="1:8" x14ac:dyDescent="0.25">
      <c r="A476" s="366" t="s">
        <v>632</v>
      </c>
      <c r="B476" s="287" t="s">
        <v>669</v>
      </c>
      <c r="C476" s="351"/>
      <c r="D476" s="351"/>
      <c r="E476" s="351"/>
      <c r="F476" s="351">
        <v>72989.17</v>
      </c>
      <c r="G476" s="351">
        <v>72989.17</v>
      </c>
      <c r="H476" s="351">
        <v>72989.17</v>
      </c>
    </row>
    <row r="477" spans="1:8" x14ac:dyDescent="0.25">
      <c r="A477" s="366" t="s">
        <v>519</v>
      </c>
      <c r="B477" s="287" t="s">
        <v>440</v>
      </c>
      <c r="C477" s="351"/>
      <c r="D477" s="351"/>
      <c r="E477" s="351">
        <v>94425</v>
      </c>
      <c r="F477" s="351">
        <v>0</v>
      </c>
      <c r="G477" s="351">
        <v>0</v>
      </c>
      <c r="H477" s="351">
        <v>0</v>
      </c>
    </row>
    <row r="478" spans="1:8" x14ac:dyDescent="0.25">
      <c r="A478" s="337">
        <v>4</v>
      </c>
      <c r="B478" s="338" t="s">
        <v>171</v>
      </c>
      <c r="C478" s="339">
        <f t="shared" ref="C478:D478" si="210">SUM(C483,C508)</f>
        <v>0</v>
      </c>
      <c r="D478" s="339">
        <f t="shared" si="210"/>
        <v>0</v>
      </c>
      <c r="E478" s="339">
        <f>SUM(E479,E483,E508)</f>
        <v>275400</v>
      </c>
      <c r="F478" s="339">
        <f>SUM(F479,F483,F508)</f>
        <v>769502.99</v>
      </c>
      <c r="G478" s="339">
        <f t="shared" ref="G478:H478" si="211">SUM(G479,G483,G508)</f>
        <v>769502.99</v>
      </c>
      <c r="H478" s="339">
        <f t="shared" si="211"/>
        <v>769502.99</v>
      </c>
    </row>
    <row r="479" spans="1:8" x14ac:dyDescent="0.25">
      <c r="A479" s="295">
        <v>41</v>
      </c>
      <c r="B479" s="380" t="s">
        <v>173</v>
      </c>
      <c r="C479" s="328"/>
      <c r="D479" s="328"/>
      <c r="E479" s="328">
        <f t="shared" ref="E479:F481" si="212">E480</f>
        <v>3000</v>
      </c>
      <c r="F479" s="328">
        <f t="shared" si="212"/>
        <v>1300</v>
      </c>
      <c r="G479" s="328">
        <f t="shared" ref="G479:H481" si="213">G480</f>
        <v>1300</v>
      </c>
      <c r="H479" s="328">
        <f t="shared" si="213"/>
        <v>1300</v>
      </c>
    </row>
    <row r="480" spans="1:8" x14ac:dyDescent="0.25">
      <c r="A480" s="295">
        <v>412</v>
      </c>
      <c r="B480" s="380" t="s">
        <v>673</v>
      </c>
      <c r="C480" s="328"/>
      <c r="D480" s="328"/>
      <c r="E480" s="328">
        <f t="shared" si="212"/>
        <v>3000</v>
      </c>
      <c r="F480" s="328">
        <f t="shared" si="212"/>
        <v>1300</v>
      </c>
      <c r="G480" s="328">
        <f t="shared" si="213"/>
        <v>1300</v>
      </c>
      <c r="H480" s="328">
        <f t="shared" si="213"/>
        <v>1300</v>
      </c>
    </row>
    <row r="481" spans="1:8" x14ac:dyDescent="0.25">
      <c r="A481" s="295">
        <v>4123</v>
      </c>
      <c r="B481" s="380" t="s">
        <v>179</v>
      </c>
      <c r="C481" s="328"/>
      <c r="D481" s="328"/>
      <c r="E481" s="328">
        <f t="shared" si="212"/>
        <v>3000</v>
      </c>
      <c r="F481" s="328">
        <f t="shared" si="212"/>
        <v>1300</v>
      </c>
      <c r="G481" s="328">
        <f t="shared" si="213"/>
        <v>1300</v>
      </c>
      <c r="H481" s="328">
        <f t="shared" si="213"/>
        <v>1300</v>
      </c>
    </row>
    <row r="482" spans="1:8" x14ac:dyDescent="0.25">
      <c r="A482" s="292">
        <v>41231</v>
      </c>
      <c r="B482" s="389" t="s">
        <v>179</v>
      </c>
      <c r="C482" s="351"/>
      <c r="D482" s="351"/>
      <c r="E482" s="351">
        <v>3000</v>
      </c>
      <c r="F482" s="351">
        <v>1300</v>
      </c>
      <c r="G482" s="351">
        <v>1300</v>
      </c>
      <c r="H482" s="351">
        <v>1300</v>
      </c>
    </row>
    <row r="483" spans="1:8" s="329" customFormat="1" x14ac:dyDescent="0.25">
      <c r="A483" s="377">
        <v>42</v>
      </c>
      <c r="B483" s="404" t="s">
        <v>357</v>
      </c>
      <c r="C483" s="355">
        <f t="shared" ref="C483:D483" si="214">C487</f>
        <v>0</v>
      </c>
      <c r="D483" s="355">
        <f t="shared" si="214"/>
        <v>0</v>
      </c>
      <c r="E483" s="355">
        <f>E484+E487+E502+E505</f>
        <v>193400</v>
      </c>
      <c r="F483" s="355">
        <f>F484+F487+F502+F505</f>
        <v>592202.99</v>
      </c>
      <c r="G483" s="355">
        <f t="shared" ref="G483:H483" si="215">G484+G487+G502+G505</f>
        <v>592202.99</v>
      </c>
      <c r="H483" s="355">
        <f t="shared" si="215"/>
        <v>592202.99</v>
      </c>
    </row>
    <row r="484" spans="1:8" x14ac:dyDescent="0.25">
      <c r="A484" s="295">
        <v>421</v>
      </c>
      <c r="B484" s="380" t="s">
        <v>204</v>
      </c>
      <c r="C484" s="328"/>
      <c r="D484" s="328"/>
      <c r="E484" s="328">
        <f>E485</f>
        <v>0</v>
      </c>
      <c r="F484" s="328">
        <f>F485</f>
        <v>3062.5</v>
      </c>
      <c r="G484" s="328">
        <f t="shared" ref="G484:H485" si="216">G485</f>
        <v>3062.5</v>
      </c>
      <c r="H484" s="328">
        <f t="shared" si="216"/>
        <v>3062.5</v>
      </c>
    </row>
    <row r="485" spans="1:8" x14ac:dyDescent="0.25">
      <c r="A485" s="295">
        <v>4212</v>
      </c>
      <c r="B485" s="380" t="s">
        <v>206</v>
      </c>
      <c r="C485" s="328"/>
      <c r="D485" s="328"/>
      <c r="E485" s="328">
        <f>E486</f>
        <v>0</v>
      </c>
      <c r="F485" s="328">
        <f>F486</f>
        <v>3062.5</v>
      </c>
      <c r="G485" s="328">
        <f t="shared" si="216"/>
        <v>3062.5</v>
      </c>
      <c r="H485" s="328">
        <f t="shared" si="216"/>
        <v>3062.5</v>
      </c>
    </row>
    <row r="486" spans="1:8" ht="31.5" x14ac:dyDescent="0.25">
      <c r="A486" s="292">
        <v>42122</v>
      </c>
      <c r="B486" s="383" t="s">
        <v>670</v>
      </c>
      <c r="C486" s="351"/>
      <c r="D486" s="351"/>
      <c r="E486" s="351">
        <v>0</v>
      </c>
      <c r="F486" s="351">
        <v>3062.5</v>
      </c>
      <c r="G486" s="351">
        <v>3062.5</v>
      </c>
      <c r="H486" s="351">
        <v>3062.5</v>
      </c>
    </row>
    <row r="487" spans="1:8" x14ac:dyDescent="0.25">
      <c r="A487" s="295">
        <v>422</v>
      </c>
      <c r="B487" s="380" t="s">
        <v>181</v>
      </c>
      <c r="C487" s="328">
        <f t="shared" ref="C487:D487" si="217">C488+C493+C496+C498</f>
        <v>0</v>
      </c>
      <c r="D487" s="328">
        <f t="shared" si="217"/>
        <v>0</v>
      </c>
      <c r="E487" s="328">
        <f>E488+E491+E493+E496+E498+E500</f>
        <v>173400</v>
      </c>
      <c r="F487" s="328">
        <f>F488+F491+F493+F496+F498+F500</f>
        <v>479140.49</v>
      </c>
      <c r="G487" s="328">
        <f t="shared" ref="G487:H487" si="218">G488+G491+G493+G496+G498+G500</f>
        <v>479140.49</v>
      </c>
      <c r="H487" s="328">
        <f t="shared" si="218"/>
        <v>479140.49</v>
      </c>
    </row>
    <row r="488" spans="1:8" x14ac:dyDescent="0.25">
      <c r="A488" s="295">
        <v>4221</v>
      </c>
      <c r="B488" s="380" t="s">
        <v>183</v>
      </c>
      <c r="C488" s="328">
        <f t="shared" ref="C488:D488" si="219">SUM(C489:C490)</f>
        <v>0</v>
      </c>
      <c r="D488" s="328">
        <f t="shared" si="219"/>
        <v>0</v>
      </c>
      <c r="E488" s="328">
        <f>SUM(E489:E490)</f>
        <v>29600</v>
      </c>
      <c r="F488" s="328">
        <f>SUM(F489:F490)</f>
        <v>74651.66</v>
      </c>
      <c r="G488" s="328">
        <f t="shared" ref="G488:H488" si="220">SUM(G489:G490)</f>
        <v>74651.66</v>
      </c>
      <c r="H488" s="328">
        <f t="shared" si="220"/>
        <v>74651.66</v>
      </c>
    </row>
    <row r="489" spans="1:8" x14ac:dyDescent="0.25">
      <c r="A489" s="292">
        <v>42211</v>
      </c>
      <c r="B489" s="389" t="s">
        <v>460</v>
      </c>
      <c r="C489" s="351"/>
      <c r="D489" s="351"/>
      <c r="E489" s="351">
        <v>19000</v>
      </c>
      <c r="F489" s="351">
        <v>43776.66</v>
      </c>
      <c r="G489" s="351">
        <v>43776.66</v>
      </c>
      <c r="H489" s="351">
        <v>43776.66</v>
      </c>
    </row>
    <row r="490" spans="1:8" x14ac:dyDescent="0.25">
      <c r="A490" s="292">
        <v>42212</v>
      </c>
      <c r="B490" s="389" t="s">
        <v>461</v>
      </c>
      <c r="C490" s="351"/>
      <c r="D490" s="351"/>
      <c r="E490" s="351">
        <v>10600</v>
      </c>
      <c r="F490" s="351">
        <v>30875</v>
      </c>
      <c r="G490" s="351">
        <v>30875</v>
      </c>
      <c r="H490" s="351">
        <v>30875</v>
      </c>
    </row>
    <row r="491" spans="1:8" x14ac:dyDescent="0.25">
      <c r="A491" s="295">
        <v>4222</v>
      </c>
      <c r="B491" s="380" t="s">
        <v>185</v>
      </c>
      <c r="C491" s="328"/>
      <c r="D491" s="328"/>
      <c r="E491" s="328">
        <f>E492</f>
        <v>0</v>
      </c>
      <c r="F491" s="328">
        <f>F492</f>
        <v>61.19</v>
      </c>
      <c r="G491" s="328">
        <f t="shared" ref="G491:H491" si="221">G492</f>
        <v>61.19</v>
      </c>
      <c r="H491" s="328">
        <f t="shared" si="221"/>
        <v>61.19</v>
      </c>
    </row>
    <row r="492" spans="1:8" s="329" customFormat="1" x14ac:dyDescent="0.25">
      <c r="A492" s="292">
        <v>42222</v>
      </c>
      <c r="B492" s="389" t="s">
        <v>641</v>
      </c>
      <c r="C492" s="351"/>
      <c r="D492" s="351"/>
      <c r="E492" s="351"/>
      <c r="F492" s="351">
        <v>61.19</v>
      </c>
      <c r="G492" s="351">
        <v>61.19</v>
      </c>
      <c r="H492" s="351">
        <v>61.19</v>
      </c>
    </row>
    <row r="493" spans="1:8" x14ac:dyDescent="0.25">
      <c r="A493" s="295">
        <v>4223</v>
      </c>
      <c r="B493" s="380" t="s">
        <v>307</v>
      </c>
      <c r="C493" s="328">
        <f t="shared" ref="C493:D493" si="222">C495</f>
        <v>0</v>
      </c>
      <c r="D493" s="328">
        <f t="shared" si="222"/>
        <v>0</v>
      </c>
      <c r="E493" s="328">
        <f>SUM(E494:E495)</f>
        <v>8000</v>
      </c>
      <c r="F493" s="328">
        <f t="shared" ref="F493:H493" si="223">SUM(F494:F495)</f>
        <v>9191.75</v>
      </c>
      <c r="G493" s="328">
        <f t="shared" si="223"/>
        <v>9191.75</v>
      </c>
      <c r="H493" s="328">
        <f t="shared" si="223"/>
        <v>9191.75</v>
      </c>
    </row>
    <row r="494" spans="1:8" s="329" customFormat="1" x14ac:dyDescent="0.25">
      <c r="A494" s="292">
        <v>42231</v>
      </c>
      <c r="B494" s="389" t="s">
        <v>464</v>
      </c>
      <c r="C494" s="351"/>
      <c r="D494" s="351"/>
      <c r="E494" s="351">
        <v>8000</v>
      </c>
      <c r="F494" s="351"/>
      <c r="G494" s="351"/>
      <c r="H494" s="351"/>
    </row>
    <row r="495" spans="1:8" s="329" customFormat="1" x14ac:dyDescent="0.25">
      <c r="A495" s="292">
        <v>42232</v>
      </c>
      <c r="B495" s="389" t="s">
        <v>463</v>
      </c>
      <c r="C495" s="351"/>
      <c r="D495" s="351"/>
      <c r="E495" s="351"/>
      <c r="F495" s="351">
        <v>9191.75</v>
      </c>
      <c r="G495" s="351">
        <v>9191.75</v>
      </c>
      <c r="H495" s="351">
        <v>9191.75</v>
      </c>
    </row>
    <row r="496" spans="1:8" x14ac:dyDescent="0.25">
      <c r="A496" s="295">
        <v>4224</v>
      </c>
      <c r="B496" s="380" t="s">
        <v>187</v>
      </c>
      <c r="C496" s="328">
        <f t="shared" ref="C496:D496" si="224">SUM(C497)</f>
        <v>0</v>
      </c>
      <c r="D496" s="328">
        <f t="shared" si="224"/>
        <v>0</v>
      </c>
      <c r="E496" s="328">
        <f>SUM(E497)</f>
        <v>120800</v>
      </c>
      <c r="F496" s="328">
        <f>SUM(F497)</f>
        <v>376267.39</v>
      </c>
      <c r="G496" s="328">
        <f t="shared" ref="G496:H496" si="225">SUM(G497)</f>
        <v>376267.39</v>
      </c>
      <c r="H496" s="328">
        <f t="shared" si="225"/>
        <v>376267.39</v>
      </c>
    </row>
    <row r="497" spans="1:8" s="329" customFormat="1" x14ac:dyDescent="0.25">
      <c r="A497" s="292">
        <v>42241</v>
      </c>
      <c r="B497" s="389" t="s">
        <v>465</v>
      </c>
      <c r="C497" s="351"/>
      <c r="D497" s="351"/>
      <c r="E497" s="351">
        <v>120800</v>
      </c>
      <c r="F497" s="351">
        <v>376267.39</v>
      </c>
      <c r="G497" s="351">
        <v>376267.39</v>
      </c>
      <c r="H497" s="351">
        <v>376267.39</v>
      </c>
    </row>
    <row r="498" spans="1:8" s="329" customFormat="1" x14ac:dyDescent="0.25">
      <c r="A498" s="295">
        <v>4225</v>
      </c>
      <c r="B498" s="380" t="s">
        <v>188</v>
      </c>
      <c r="C498" s="328">
        <f t="shared" ref="C498:D498" si="226">SUM(C499)</f>
        <v>0</v>
      </c>
      <c r="D498" s="328">
        <f t="shared" si="226"/>
        <v>0</v>
      </c>
      <c r="E498" s="328">
        <f>SUM(E499)</f>
        <v>15000</v>
      </c>
      <c r="F498" s="328">
        <f>SUM(F499)</f>
        <v>15000</v>
      </c>
      <c r="G498" s="328">
        <f t="shared" ref="G498:H498" si="227">SUM(G499)</f>
        <v>15000</v>
      </c>
      <c r="H498" s="328">
        <f t="shared" si="227"/>
        <v>15000</v>
      </c>
    </row>
    <row r="499" spans="1:8" x14ac:dyDescent="0.25">
      <c r="A499" s="292">
        <v>42251</v>
      </c>
      <c r="B499" s="389" t="s">
        <v>671</v>
      </c>
      <c r="C499" s="351"/>
      <c r="D499" s="351"/>
      <c r="E499" s="351">
        <v>15000</v>
      </c>
      <c r="F499" s="351">
        <v>15000</v>
      </c>
      <c r="G499" s="351">
        <v>15000</v>
      </c>
      <c r="H499" s="351">
        <v>15000</v>
      </c>
    </row>
    <row r="500" spans="1:8" x14ac:dyDescent="0.25">
      <c r="A500" s="295">
        <v>4227</v>
      </c>
      <c r="B500" s="380" t="s">
        <v>189</v>
      </c>
      <c r="C500" s="328"/>
      <c r="D500" s="328"/>
      <c r="E500" s="328">
        <f>E501</f>
        <v>0</v>
      </c>
      <c r="F500" s="328">
        <f>F501</f>
        <v>3968.5</v>
      </c>
      <c r="G500" s="328">
        <f t="shared" ref="G500:H500" si="228">G501</f>
        <v>3968.5</v>
      </c>
      <c r="H500" s="328">
        <f t="shared" si="228"/>
        <v>3968.5</v>
      </c>
    </row>
    <row r="501" spans="1:8" x14ac:dyDescent="0.25">
      <c r="A501" s="292">
        <v>42271</v>
      </c>
      <c r="B501" s="389" t="s">
        <v>672</v>
      </c>
      <c r="C501" s="351"/>
      <c r="D501" s="351"/>
      <c r="E501" s="351">
        <v>0</v>
      </c>
      <c r="F501" s="351">
        <v>3968.5</v>
      </c>
      <c r="G501" s="351">
        <v>3968.5</v>
      </c>
      <c r="H501" s="351">
        <v>3968.5</v>
      </c>
    </row>
    <row r="502" spans="1:8" x14ac:dyDescent="0.25">
      <c r="A502" s="295">
        <v>423</v>
      </c>
      <c r="B502" s="380" t="s">
        <v>190</v>
      </c>
      <c r="C502" s="328"/>
      <c r="D502" s="328"/>
      <c r="E502" s="328">
        <f>E503</f>
        <v>18000</v>
      </c>
      <c r="F502" s="328">
        <f>F503</f>
        <v>108000</v>
      </c>
      <c r="G502" s="328">
        <f t="shared" ref="G502:H503" si="229">G503</f>
        <v>108000</v>
      </c>
      <c r="H502" s="328">
        <f t="shared" si="229"/>
        <v>108000</v>
      </c>
    </row>
    <row r="503" spans="1:8" x14ac:dyDescent="0.25">
      <c r="A503" s="295">
        <v>4231</v>
      </c>
      <c r="B503" s="380" t="s">
        <v>80</v>
      </c>
      <c r="C503" s="328"/>
      <c r="D503" s="328"/>
      <c r="E503" s="328">
        <f>E504</f>
        <v>18000</v>
      </c>
      <c r="F503" s="328">
        <f>F504</f>
        <v>108000</v>
      </c>
      <c r="G503" s="328">
        <f t="shared" si="229"/>
        <v>108000</v>
      </c>
      <c r="H503" s="328">
        <f t="shared" si="229"/>
        <v>108000</v>
      </c>
    </row>
    <row r="504" spans="1:8" s="342" customFormat="1" x14ac:dyDescent="0.25">
      <c r="A504" s="292">
        <v>42311</v>
      </c>
      <c r="B504" s="389" t="s">
        <v>467</v>
      </c>
      <c r="C504" s="351"/>
      <c r="D504" s="351"/>
      <c r="E504" s="351">
        <v>18000</v>
      </c>
      <c r="F504" s="351">
        <v>108000</v>
      </c>
      <c r="G504" s="351">
        <v>108000</v>
      </c>
      <c r="H504" s="351">
        <v>108000</v>
      </c>
    </row>
    <row r="505" spans="1:8" s="353" customFormat="1" x14ac:dyDescent="0.25">
      <c r="A505" s="295">
        <v>426</v>
      </c>
      <c r="B505" s="380" t="s">
        <v>308</v>
      </c>
      <c r="C505" s="328"/>
      <c r="D505" s="328"/>
      <c r="E505" s="328">
        <f>E506</f>
        <v>2000</v>
      </c>
      <c r="F505" s="328">
        <f>F506</f>
        <v>2000</v>
      </c>
      <c r="G505" s="328">
        <f t="shared" ref="G505:H506" si="230">G506</f>
        <v>2000</v>
      </c>
      <c r="H505" s="328">
        <f t="shared" si="230"/>
        <v>2000</v>
      </c>
    </row>
    <row r="506" spans="1:8" s="354" customFormat="1" x14ac:dyDescent="0.25">
      <c r="A506" s="295">
        <v>4262</v>
      </c>
      <c r="B506" s="380" t="s">
        <v>192</v>
      </c>
      <c r="C506" s="328"/>
      <c r="D506" s="328"/>
      <c r="E506" s="328">
        <f>E507</f>
        <v>2000</v>
      </c>
      <c r="F506" s="328">
        <f>F507</f>
        <v>2000</v>
      </c>
      <c r="G506" s="328">
        <f t="shared" si="230"/>
        <v>2000</v>
      </c>
      <c r="H506" s="328">
        <f t="shared" si="230"/>
        <v>2000</v>
      </c>
    </row>
    <row r="507" spans="1:8" x14ac:dyDescent="0.25">
      <c r="A507" s="292">
        <v>42621</v>
      </c>
      <c r="B507" s="389" t="s">
        <v>192</v>
      </c>
      <c r="C507" s="351"/>
      <c r="D507" s="351"/>
      <c r="E507" s="351">
        <v>2000</v>
      </c>
      <c r="F507" s="351">
        <v>2000</v>
      </c>
      <c r="G507" s="351">
        <v>2000</v>
      </c>
      <c r="H507" s="351">
        <v>2000</v>
      </c>
    </row>
    <row r="508" spans="1:8" x14ac:dyDescent="0.25">
      <c r="A508" s="362" t="s">
        <v>193</v>
      </c>
      <c r="B508" s="381" t="s">
        <v>196</v>
      </c>
      <c r="C508" s="355">
        <f t="shared" ref="C508:D510" si="231">SUM(C509)</f>
        <v>0</v>
      </c>
      <c r="D508" s="355">
        <f t="shared" si="231"/>
        <v>0</v>
      </c>
      <c r="E508" s="355">
        <f t="shared" ref="E508:F510" si="232">SUM(E509)</f>
        <v>79000</v>
      </c>
      <c r="F508" s="355">
        <f t="shared" si="232"/>
        <v>176000</v>
      </c>
      <c r="G508" s="355">
        <f t="shared" ref="G508:H510" si="233">SUM(G509)</f>
        <v>176000</v>
      </c>
      <c r="H508" s="355">
        <f t="shared" si="233"/>
        <v>176000</v>
      </c>
    </row>
    <row r="509" spans="1:8" x14ac:dyDescent="0.25">
      <c r="A509" s="364" t="s">
        <v>195</v>
      </c>
      <c r="B509" s="365" t="s">
        <v>204</v>
      </c>
      <c r="C509" s="328">
        <f t="shared" si="231"/>
        <v>0</v>
      </c>
      <c r="D509" s="328">
        <f t="shared" si="231"/>
        <v>0</v>
      </c>
      <c r="E509" s="328">
        <f t="shared" si="232"/>
        <v>79000</v>
      </c>
      <c r="F509" s="328">
        <f t="shared" si="232"/>
        <v>176000</v>
      </c>
      <c r="G509" s="328">
        <f t="shared" si="233"/>
        <v>176000</v>
      </c>
      <c r="H509" s="328">
        <f t="shared" si="233"/>
        <v>176000</v>
      </c>
    </row>
    <row r="510" spans="1:8" x14ac:dyDescent="0.25">
      <c r="A510" s="364" t="s">
        <v>197</v>
      </c>
      <c r="B510" s="365" t="s">
        <v>196</v>
      </c>
      <c r="C510" s="328">
        <f t="shared" si="231"/>
        <v>0</v>
      </c>
      <c r="D510" s="328">
        <f t="shared" si="231"/>
        <v>0</v>
      </c>
      <c r="E510" s="328">
        <f t="shared" si="232"/>
        <v>79000</v>
      </c>
      <c r="F510" s="328">
        <f t="shared" si="232"/>
        <v>176000</v>
      </c>
      <c r="G510" s="328">
        <f t="shared" si="233"/>
        <v>176000</v>
      </c>
      <c r="H510" s="328">
        <f t="shared" si="233"/>
        <v>176000</v>
      </c>
    </row>
    <row r="511" spans="1:8" x14ac:dyDescent="0.25">
      <c r="A511" s="366" t="s">
        <v>509</v>
      </c>
      <c r="B511" s="286" t="s">
        <v>196</v>
      </c>
      <c r="C511" s="351"/>
      <c r="D511" s="351"/>
      <c r="E511" s="351">
        <v>79000</v>
      </c>
      <c r="F511" s="351">
        <v>176000</v>
      </c>
      <c r="G511" s="351">
        <v>176000</v>
      </c>
      <c r="H511" s="351">
        <v>176000</v>
      </c>
    </row>
    <row r="512" spans="1:8" ht="47.25" x14ac:dyDescent="0.25">
      <c r="A512" s="401" t="s">
        <v>318</v>
      </c>
      <c r="B512" s="402" t="s">
        <v>359</v>
      </c>
      <c r="C512" s="332">
        <f t="shared" ref="C512:D513" si="234">C513</f>
        <v>0</v>
      </c>
      <c r="D512" s="332">
        <f t="shared" si="234"/>
        <v>0</v>
      </c>
      <c r="E512" s="332">
        <f>E513</f>
        <v>4778.0199999999995</v>
      </c>
      <c r="F512" s="332">
        <f>F513</f>
        <v>4778.0199999999995</v>
      </c>
      <c r="G512" s="332">
        <f t="shared" ref="G512:H513" si="235">G513</f>
        <v>4778.0199999999995</v>
      </c>
      <c r="H512" s="332">
        <f t="shared" si="235"/>
        <v>4778.0199999999995</v>
      </c>
    </row>
    <row r="513" spans="1:8" x14ac:dyDescent="0.25">
      <c r="A513" s="386" t="s">
        <v>355</v>
      </c>
      <c r="B513" s="387" t="s">
        <v>356</v>
      </c>
      <c r="C513" s="335">
        <f t="shared" si="234"/>
        <v>0</v>
      </c>
      <c r="D513" s="335">
        <f t="shared" si="234"/>
        <v>0</v>
      </c>
      <c r="E513" s="335">
        <f>E514</f>
        <v>4778.0199999999995</v>
      </c>
      <c r="F513" s="335">
        <f>F514</f>
        <v>4778.0199999999995</v>
      </c>
      <c r="G513" s="335">
        <f t="shared" si="235"/>
        <v>4778.0199999999995</v>
      </c>
      <c r="H513" s="335">
        <f t="shared" si="235"/>
        <v>4778.0199999999995</v>
      </c>
    </row>
    <row r="514" spans="1:8" x14ac:dyDescent="0.25">
      <c r="A514" s="400" t="s">
        <v>83</v>
      </c>
      <c r="B514" s="403" t="s">
        <v>84</v>
      </c>
      <c r="C514" s="339">
        <f t="shared" ref="C514:D514" si="236">C515+C524</f>
        <v>0</v>
      </c>
      <c r="D514" s="339">
        <f t="shared" si="236"/>
        <v>0</v>
      </c>
      <c r="E514" s="339">
        <f>E515+E524</f>
        <v>4778.0199999999995</v>
      </c>
      <c r="F514" s="339">
        <f>F515+F524</f>
        <v>4778.0199999999995</v>
      </c>
      <c r="G514" s="339">
        <f t="shared" ref="G514:H514" si="237">G515+G524</f>
        <v>4778.0199999999995</v>
      </c>
      <c r="H514" s="339">
        <f t="shared" si="237"/>
        <v>4778.0199999999995</v>
      </c>
    </row>
    <row r="515" spans="1:8" x14ac:dyDescent="0.25">
      <c r="A515" s="362">
        <v>31</v>
      </c>
      <c r="B515" s="363" t="s">
        <v>85</v>
      </c>
      <c r="C515" s="355">
        <f t="shared" ref="C515:D515" si="238">C516+C519+C521</f>
        <v>0</v>
      </c>
      <c r="D515" s="355">
        <f t="shared" si="238"/>
        <v>0</v>
      </c>
      <c r="E515" s="355">
        <f>E516+E519+E521</f>
        <v>4778.0199999999995</v>
      </c>
      <c r="F515" s="355">
        <f>F516+F519+F521</f>
        <v>4778.0199999999995</v>
      </c>
      <c r="G515" s="355">
        <f t="shared" ref="G515:H515" si="239">G516+G519+G521</f>
        <v>4778.0199999999995</v>
      </c>
      <c r="H515" s="355">
        <f t="shared" si="239"/>
        <v>4778.0199999999995</v>
      </c>
    </row>
    <row r="516" spans="1:8" s="329" customFormat="1" x14ac:dyDescent="0.25">
      <c r="A516" s="364">
        <v>311</v>
      </c>
      <c r="B516" s="365" t="s">
        <v>86</v>
      </c>
      <c r="C516" s="328">
        <f t="shared" ref="C516:D517" si="240">SUM(C517)</f>
        <v>0</v>
      </c>
      <c r="D516" s="328">
        <f t="shared" si="240"/>
        <v>0</v>
      </c>
      <c r="E516" s="328">
        <f>SUM(E517)</f>
        <v>4101.32</v>
      </c>
      <c r="F516" s="328">
        <f>SUM(F517)</f>
        <v>4101.32</v>
      </c>
      <c r="G516" s="328">
        <f t="shared" ref="G516:H517" si="241">SUM(G517)</f>
        <v>4101.32</v>
      </c>
      <c r="H516" s="328">
        <f t="shared" si="241"/>
        <v>4101.32</v>
      </c>
    </row>
    <row r="517" spans="1:8" s="329" customFormat="1" x14ac:dyDescent="0.25">
      <c r="A517" s="364">
        <v>3111</v>
      </c>
      <c r="B517" s="365" t="s">
        <v>87</v>
      </c>
      <c r="C517" s="328">
        <f t="shared" si="240"/>
        <v>0</v>
      </c>
      <c r="D517" s="328">
        <f t="shared" si="240"/>
        <v>0</v>
      </c>
      <c r="E517" s="328">
        <f>SUM(E518)</f>
        <v>4101.32</v>
      </c>
      <c r="F517" s="328">
        <f>SUM(F518)</f>
        <v>4101.32</v>
      </c>
      <c r="G517" s="328">
        <f t="shared" si="241"/>
        <v>4101.32</v>
      </c>
      <c r="H517" s="328">
        <f t="shared" si="241"/>
        <v>4101.32</v>
      </c>
    </row>
    <row r="518" spans="1:8" x14ac:dyDescent="0.25">
      <c r="A518" s="366" t="s">
        <v>480</v>
      </c>
      <c r="B518" s="286" t="s">
        <v>87</v>
      </c>
      <c r="C518" s="351"/>
      <c r="D518" s="351"/>
      <c r="E518" s="351">
        <v>4101.32</v>
      </c>
      <c r="F518" s="351">
        <v>4101.32</v>
      </c>
      <c r="G518" s="351">
        <v>4101.32</v>
      </c>
      <c r="H518" s="351">
        <v>4101.32</v>
      </c>
    </row>
    <row r="519" spans="1:8" s="329" customFormat="1" hidden="1" x14ac:dyDescent="0.25">
      <c r="A519" s="364" t="s">
        <v>94</v>
      </c>
      <c r="B519" s="365" t="s">
        <v>95</v>
      </c>
      <c r="C519" s="328">
        <f t="shared" ref="C519:D519" si="242">C520</f>
        <v>0</v>
      </c>
      <c r="D519" s="328">
        <f t="shared" si="242"/>
        <v>0</v>
      </c>
      <c r="E519" s="328"/>
      <c r="F519" s="328">
        <f>F520</f>
        <v>0</v>
      </c>
      <c r="G519" s="328">
        <f t="shared" ref="G519:H519" si="243">G520</f>
        <v>0</v>
      </c>
      <c r="H519" s="328">
        <f t="shared" si="243"/>
        <v>0</v>
      </c>
    </row>
    <row r="520" spans="1:8" hidden="1" x14ac:dyDescent="0.25">
      <c r="A520" s="366" t="s">
        <v>96</v>
      </c>
      <c r="B520" s="286" t="s">
        <v>95</v>
      </c>
      <c r="C520" s="351"/>
      <c r="D520" s="351"/>
      <c r="E520" s="351"/>
      <c r="F520" s="351"/>
      <c r="G520" s="351"/>
      <c r="H520" s="351"/>
    </row>
    <row r="521" spans="1:8" s="329" customFormat="1" x14ac:dyDescent="0.25">
      <c r="A521" s="364" t="s">
        <v>209</v>
      </c>
      <c r="B521" s="365" t="s">
        <v>97</v>
      </c>
      <c r="C521" s="328">
        <f t="shared" ref="C521:D522" si="244">SUM(C522)</f>
        <v>0</v>
      </c>
      <c r="D521" s="328">
        <f t="shared" si="244"/>
        <v>0</v>
      </c>
      <c r="E521" s="328">
        <f>SUM(E522)</f>
        <v>676.7</v>
      </c>
      <c r="F521" s="328">
        <f>SUM(F522)</f>
        <v>676.7</v>
      </c>
      <c r="G521" s="328">
        <f t="shared" ref="G521:H522" si="245">SUM(G522)</f>
        <v>676.7</v>
      </c>
      <c r="H521" s="328">
        <f t="shared" si="245"/>
        <v>676.7</v>
      </c>
    </row>
    <row r="522" spans="1:8" x14ac:dyDescent="0.25">
      <c r="A522" s="364" t="s">
        <v>210</v>
      </c>
      <c r="B522" s="365" t="s">
        <v>98</v>
      </c>
      <c r="C522" s="328">
        <f t="shared" si="244"/>
        <v>0</v>
      </c>
      <c r="D522" s="328">
        <f t="shared" si="244"/>
        <v>0</v>
      </c>
      <c r="E522" s="328">
        <f>SUM(E523)</f>
        <v>676.7</v>
      </c>
      <c r="F522" s="328">
        <f>SUM(F523)</f>
        <v>676.7</v>
      </c>
      <c r="G522" s="328">
        <f t="shared" si="245"/>
        <v>676.7</v>
      </c>
      <c r="H522" s="328">
        <f t="shared" si="245"/>
        <v>676.7</v>
      </c>
    </row>
    <row r="523" spans="1:8" x14ac:dyDescent="0.25">
      <c r="A523" s="366" t="s">
        <v>490</v>
      </c>
      <c r="B523" s="286" t="s">
        <v>98</v>
      </c>
      <c r="C523" s="351"/>
      <c r="D523" s="351"/>
      <c r="E523" s="351">
        <v>676.7</v>
      </c>
      <c r="F523" s="351">
        <v>676.7</v>
      </c>
      <c r="G523" s="351">
        <v>676.7</v>
      </c>
      <c r="H523" s="351">
        <v>676.7</v>
      </c>
    </row>
    <row r="524" spans="1:8" s="353" customFormat="1" hidden="1" x14ac:dyDescent="0.25">
      <c r="A524" s="362" t="s">
        <v>358</v>
      </c>
      <c r="B524" s="393" t="s">
        <v>99</v>
      </c>
      <c r="C524" s="355">
        <f t="shared" ref="C524:D524" si="246">C525+C527+C529</f>
        <v>0</v>
      </c>
      <c r="D524" s="355">
        <f t="shared" si="246"/>
        <v>0</v>
      </c>
      <c r="E524" s="355"/>
      <c r="F524" s="355">
        <f>F525+F527+F529</f>
        <v>0</v>
      </c>
      <c r="G524" s="355">
        <f t="shared" ref="G524:H524" si="247">G525+G527+G529</f>
        <v>0</v>
      </c>
      <c r="H524" s="355">
        <f t="shared" si="247"/>
        <v>0</v>
      </c>
    </row>
    <row r="525" spans="1:8" s="354" customFormat="1" hidden="1" x14ac:dyDescent="0.25">
      <c r="A525" s="364" t="s">
        <v>212</v>
      </c>
      <c r="B525" s="365" t="s">
        <v>100</v>
      </c>
      <c r="C525" s="328">
        <f t="shared" ref="C525:D525" si="248">C526</f>
        <v>0</v>
      </c>
      <c r="D525" s="328">
        <f t="shared" si="248"/>
        <v>0</v>
      </c>
      <c r="E525" s="328"/>
      <c r="F525" s="328">
        <f>F526</f>
        <v>0</v>
      </c>
      <c r="G525" s="328">
        <f t="shared" ref="G525:H525" si="249">G526</f>
        <v>0</v>
      </c>
      <c r="H525" s="328">
        <f t="shared" si="249"/>
        <v>0</v>
      </c>
    </row>
    <row r="526" spans="1:8" hidden="1" x14ac:dyDescent="0.25">
      <c r="A526" s="366" t="s">
        <v>103</v>
      </c>
      <c r="B526" s="286" t="s">
        <v>104</v>
      </c>
      <c r="C526" s="351"/>
      <c r="D526" s="351"/>
      <c r="E526" s="351"/>
      <c r="F526" s="351"/>
      <c r="G526" s="351"/>
      <c r="H526" s="351"/>
    </row>
    <row r="527" spans="1:8" hidden="1" x14ac:dyDescent="0.25">
      <c r="A527" s="364" t="s">
        <v>109</v>
      </c>
      <c r="B527" s="365" t="s">
        <v>110</v>
      </c>
      <c r="C527" s="328">
        <f t="shared" ref="C527:D527" si="250">C528</f>
        <v>0</v>
      </c>
      <c r="D527" s="328">
        <f t="shared" si="250"/>
        <v>0</v>
      </c>
      <c r="E527" s="328"/>
      <c r="F527" s="328">
        <f>F528</f>
        <v>0</v>
      </c>
      <c r="G527" s="328">
        <f t="shared" ref="G527:H527" si="251">G528</f>
        <v>0</v>
      </c>
      <c r="H527" s="328">
        <f t="shared" si="251"/>
        <v>0</v>
      </c>
    </row>
    <row r="528" spans="1:8" hidden="1" x14ac:dyDescent="0.25">
      <c r="A528" s="366" t="s">
        <v>115</v>
      </c>
      <c r="B528" s="286" t="s">
        <v>116</v>
      </c>
      <c r="C528" s="351"/>
      <c r="D528" s="351"/>
      <c r="E528" s="351"/>
      <c r="F528" s="351"/>
      <c r="G528" s="351"/>
      <c r="H528" s="351"/>
    </row>
    <row r="529" spans="1:8" hidden="1" x14ac:dyDescent="0.25">
      <c r="A529" s="364" t="s">
        <v>123</v>
      </c>
      <c r="B529" s="365" t="s">
        <v>124</v>
      </c>
      <c r="C529" s="328">
        <f t="shared" ref="C529:D529" si="252">C530</f>
        <v>0</v>
      </c>
      <c r="D529" s="328">
        <f t="shared" si="252"/>
        <v>0</v>
      </c>
      <c r="E529" s="328"/>
      <c r="F529" s="328">
        <f>F530</f>
        <v>0</v>
      </c>
      <c r="G529" s="328">
        <f t="shared" ref="G529:H529" si="253">G530</f>
        <v>0</v>
      </c>
      <c r="H529" s="328">
        <f t="shared" si="253"/>
        <v>0</v>
      </c>
    </row>
    <row r="530" spans="1:8" hidden="1" x14ac:dyDescent="0.25">
      <c r="A530" s="366" t="s">
        <v>129</v>
      </c>
      <c r="B530" s="286" t="s">
        <v>130</v>
      </c>
      <c r="C530" s="351"/>
      <c r="D530" s="351"/>
      <c r="E530" s="351"/>
      <c r="F530" s="351"/>
      <c r="G530" s="351"/>
      <c r="H530" s="351"/>
    </row>
    <row r="531" spans="1:8" ht="47.25" x14ac:dyDescent="0.25">
      <c r="A531" s="401" t="s">
        <v>318</v>
      </c>
      <c r="B531" s="402" t="s">
        <v>675</v>
      </c>
      <c r="C531" s="332">
        <f t="shared" ref="C531:D531" si="254">C532</f>
        <v>0</v>
      </c>
      <c r="D531" s="332">
        <f t="shared" si="254"/>
        <v>0</v>
      </c>
      <c r="E531" s="332">
        <f>E532</f>
        <v>6600</v>
      </c>
      <c r="F531" s="332">
        <f>F532</f>
        <v>6600</v>
      </c>
      <c r="G531" s="332">
        <f t="shared" ref="G531:H531" si="255">G532</f>
        <v>6600</v>
      </c>
      <c r="H531" s="332">
        <f t="shared" si="255"/>
        <v>6600</v>
      </c>
    </row>
    <row r="532" spans="1:8" x14ac:dyDescent="0.25">
      <c r="A532" s="386" t="s">
        <v>355</v>
      </c>
      <c r="B532" s="387" t="s">
        <v>356</v>
      </c>
      <c r="C532" s="335">
        <f t="shared" ref="C532:D532" si="256">C533</f>
        <v>0</v>
      </c>
      <c r="D532" s="335">
        <f t="shared" si="256"/>
        <v>0</v>
      </c>
      <c r="E532" s="335">
        <f>E533</f>
        <v>6600</v>
      </c>
      <c r="F532" s="335">
        <f>F533</f>
        <v>6600</v>
      </c>
      <c r="G532" s="335">
        <f t="shared" ref="G532:H532" si="257">G533</f>
        <v>6600</v>
      </c>
      <c r="H532" s="335">
        <f t="shared" si="257"/>
        <v>6600</v>
      </c>
    </row>
    <row r="533" spans="1:8" x14ac:dyDescent="0.25">
      <c r="A533" s="400" t="s">
        <v>83</v>
      </c>
      <c r="B533" s="403" t="s">
        <v>84</v>
      </c>
      <c r="C533" s="339">
        <f t="shared" ref="C533:D533" si="258">C534+C543</f>
        <v>0</v>
      </c>
      <c r="D533" s="339">
        <f t="shared" si="258"/>
        <v>0</v>
      </c>
      <c r="E533" s="339">
        <f>E534+E543</f>
        <v>6600</v>
      </c>
      <c r="F533" s="339">
        <f>F534+F543</f>
        <v>6600</v>
      </c>
      <c r="G533" s="339">
        <f t="shared" ref="G533:H533" si="259">G534+G543</f>
        <v>6600</v>
      </c>
      <c r="H533" s="339">
        <f t="shared" si="259"/>
        <v>6600</v>
      </c>
    </row>
    <row r="534" spans="1:8" x14ac:dyDescent="0.25">
      <c r="A534" s="362">
        <v>31</v>
      </c>
      <c r="B534" s="363" t="s">
        <v>85</v>
      </c>
      <c r="C534" s="355">
        <f t="shared" ref="C534:D534" si="260">C535+C538+C540</f>
        <v>0</v>
      </c>
      <c r="D534" s="355">
        <f t="shared" si="260"/>
        <v>0</v>
      </c>
      <c r="E534" s="355">
        <f>E535+E538+E540</f>
        <v>2200</v>
      </c>
      <c r="F534" s="355">
        <f>F535+F538+F540</f>
        <v>2200</v>
      </c>
      <c r="G534" s="355">
        <f t="shared" ref="G534:H534" si="261">G535+G538+G540</f>
        <v>2200</v>
      </c>
      <c r="H534" s="355">
        <f t="shared" si="261"/>
        <v>2200</v>
      </c>
    </row>
    <row r="535" spans="1:8" s="329" customFormat="1" x14ac:dyDescent="0.25">
      <c r="A535" s="364">
        <v>311</v>
      </c>
      <c r="B535" s="365" t="s">
        <v>86</v>
      </c>
      <c r="C535" s="328">
        <f t="shared" ref="C535:D536" si="262">SUM(C536)</f>
        <v>0</v>
      </c>
      <c r="D535" s="328">
        <f t="shared" si="262"/>
        <v>0</v>
      </c>
      <c r="E535" s="328">
        <f>SUM(E536)</f>
        <v>1888.41</v>
      </c>
      <c r="F535" s="328">
        <f>SUM(F536)</f>
        <v>1888.41</v>
      </c>
      <c r="G535" s="328">
        <f t="shared" ref="G535:H536" si="263">SUM(G536)</f>
        <v>1888.41</v>
      </c>
      <c r="H535" s="328">
        <f t="shared" si="263"/>
        <v>1888.41</v>
      </c>
    </row>
    <row r="536" spans="1:8" s="329" customFormat="1" x14ac:dyDescent="0.25">
      <c r="A536" s="364">
        <v>3111</v>
      </c>
      <c r="B536" s="365" t="s">
        <v>87</v>
      </c>
      <c r="C536" s="328">
        <f t="shared" si="262"/>
        <v>0</v>
      </c>
      <c r="D536" s="328">
        <f t="shared" si="262"/>
        <v>0</v>
      </c>
      <c r="E536" s="328">
        <f>SUM(E537)</f>
        <v>1888.41</v>
      </c>
      <c r="F536" s="328">
        <f>SUM(F537)</f>
        <v>1888.41</v>
      </c>
      <c r="G536" s="328">
        <f t="shared" si="263"/>
        <v>1888.41</v>
      </c>
      <c r="H536" s="328">
        <f t="shared" si="263"/>
        <v>1888.41</v>
      </c>
    </row>
    <row r="537" spans="1:8" s="329" customFormat="1" x14ac:dyDescent="0.25">
      <c r="A537" s="366" t="s">
        <v>480</v>
      </c>
      <c r="B537" s="286" t="s">
        <v>87</v>
      </c>
      <c r="C537" s="351"/>
      <c r="D537" s="351"/>
      <c r="E537" s="351">
        <v>1888.41</v>
      </c>
      <c r="F537" s="351">
        <v>1888.41</v>
      </c>
      <c r="G537" s="351">
        <v>1888.41</v>
      </c>
      <c r="H537" s="351">
        <v>1888.41</v>
      </c>
    </row>
    <row r="538" spans="1:8" s="348" customFormat="1" hidden="1" x14ac:dyDescent="0.25">
      <c r="A538" s="364" t="s">
        <v>94</v>
      </c>
      <c r="B538" s="365" t="s">
        <v>95</v>
      </c>
      <c r="C538" s="328">
        <f t="shared" ref="C538:D538" si="264">C539</f>
        <v>0</v>
      </c>
      <c r="D538" s="328">
        <f t="shared" si="264"/>
        <v>0</v>
      </c>
      <c r="E538" s="328"/>
      <c r="F538" s="328">
        <f>F539</f>
        <v>0</v>
      </c>
      <c r="G538" s="328">
        <f t="shared" ref="G538:H538" si="265">G539</f>
        <v>0</v>
      </c>
      <c r="H538" s="328">
        <f t="shared" si="265"/>
        <v>0</v>
      </c>
    </row>
    <row r="539" spans="1:8" s="348" customFormat="1" hidden="1" x14ac:dyDescent="0.25">
      <c r="A539" s="366" t="s">
        <v>96</v>
      </c>
      <c r="B539" s="286" t="s">
        <v>95</v>
      </c>
      <c r="C539" s="351"/>
      <c r="D539" s="351"/>
      <c r="E539" s="351"/>
      <c r="F539" s="351"/>
      <c r="G539" s="351"/>
      <c r="H539" s="351"/>
    </row>
    <row r="540" spans="1:8" s="329" customFormat="1" x14ac:dyDescent="0.25">
      <c r="A540" s="364" t="s">
        <v>209</v>
      </c>
      <c r="B540" s="365" t="s">
        <v>97</v>
      </c>
      <c r="C540" s="328">
        <f t="shared" ref="C540:D541" si="266">SUM(C541)</f>
        <v>0</v>
      </c>
      <c r="D540" s="328">
        <f t="shared" si="266"/>
        <v>0</v>
      </c>
      <c r="E540" s="328">
        <f>SUM(E541)</f>
        <v>311.58999999999997</v>
      </c>
      <c r="F540" s="328">
        <f>SUM(F541)</f>
        <v>311.58999999999997</v>
      </c>
      <c r="G540" s="328">
        <f t="shared" ref="G540:H541" si="267">SUM(G541)</f>
        <v>311.58999999999997</v>
      </c>
      <c r="H540" s="328">
        <f t="shared" si="267"/>
        <v>311.58999999999997</v>
      </c>
    </row>
    <row r="541" spans="1:8" s="329" customFormat="1" x14ac:dyDescent="0.25">
      <c r="A541" s="364" t="s">
        <v>210</v>
      </c>
      <c r="B541" s="365" t="s">
        <v>98</v>
      </c>
      <c r="C541" s="328">
        <f t="shared" si="266"/>
        <v>0</v>
      </c>
      <c r="D541" s="328">
        <f t="shared" si="266"/>
        <v>0</v>
      </c>
      <c r="E541" s="328">
        <f>SUM(E542)</f>
        <v>311.58999999999997</v>
      </c>
      <c r="F541" s="328">
        <f>SUM(F542)</f>
        <v>311.58999999999997</v>
      </c>
      <c r="G541" s="328">
        <f t="shared" si="267"/>
        <v>311.58999999999997</v>
      </c>
      <c r="H541" s="328">
        <f t="shared" si="267"/>
        <v>311.58999999999997</v>
      </c>
    </row>
    <row r="542" spans="1:8" x14ac:dyDescent="0.25">
      <c r="A542" s="366" t="s">
        <v>490</v>
      </c>
      <c r="B542" s="286" t="s">
        <v>98</v>
      </c>
      <c r="C542" s="351"/>
      <c r="D542" s="351"/>
      <c r="E542" s="351">
        <v>311.58999999999997</v>
      </c>
      <c r="F542" s="351">
        <v>311.58999999999997</v>
      </c>
      <c r="G542" s="351">
        <v>311.58999999999997</v>
      </c>
      <c r="H542" s="351">
        <v>311.58999999999997</v>
      </c>
    </row>
    <row r="543" spans="1:8" s="329" customFormat="1" x14ac:dyDescent="0.25">
      <c r="A543" s="362" t="s">
        <v>358</v>
      </c>
      <c r="B543" s="393" t="s">
        <v>99</v>
      </c>
      <c r="C543" s="355">
        <f t="shared" ref="C543:H543" si="268">C544+C551+C554</f>
        <v>0</v>
      </c>
      <c r="D543" s="355">
        <f t="shared" si="268"/>
        <v>0</v>
      </c>
      <c r="E543" s="355">
        <f t="shared" si="268"/>
        <v>4400</v>
      </c>
      <c r="F543" s="355">
        <f t="shared" si="268"/>
        <v>4400</v>
      </c>
      <c r="G543" s="355">
        <f t="shared" si="268"/>
        <v>4400</v>
      </c>
      <c r="H543" s="355">
        <f t="shared" si="268"/>
        <v>4400</v>
      </c>
    </row>
    <row r="544" spans="1:8" s="329" customFormat="1" x14ac:dyDescent="0.25">
      <c r="A544" s="364" t="s">
        <v>212</v>
      </c>
      <c r="B544" s="365" t="s">
        <v>100</v>
      </c>
      <c r="C544" s="328">
        <f>C545+C548+C549</f>
        <v>0</v>
      </c>
      <c r="D544" s="328">
        <f t="shared" ref="D544:H544" si="269">D545+D548+D549</f>
        <v>0</v>
      </c>
      <c r="E544" s="328">
        <f t="shared" ref="E544" si="270">E545+E548+E549</f>
        <v>4200</v>
      </c>
      <c r="F544" s="328">
        <f t="shared" si="269"/>
        <v>4200</v>
      </c>
      <c r="G544" s="328">
        <f t="shared" si="269"/>
        <v>4200</v>
      </c>
      <c r="H544" s="328">
        <f t="shared" si="269"/>
        <v>4200</v>
      </c>
    </row>
    <row r="545" spans="1:8" x14ac:dyDescent="0.25">
      <c r="A545" s="364" t="s">
        <v>101</v>
      </c>
      <c r="B545" s="365" t="s">
        <v>102</v>
      </c>
      <c r="C545" s="328">
        <f>C546+C547</f>
        <v>0</v>
      </c>
      <c r="D545" s="328">
        <f t="shared" ref="D545:H545" si="271">D546+D547</f>
        <v>0</v>
      </c>
      <c r="E545" s="328">
        <f t="shared" ref="E545" si="272">E546+E547</f>
        <v>470</v>
      </c>
      <c r="F545" s="328">
        <f t="shared" si="271"/>
        <v>470</v>
      </c>
      <c r="G545" s="328">
        <f t="shared" si="271"/>
        <v>470</v>
      </c>
      <c r="H545" s="328">
        <f t="shared" si="271"/>
        <v>470</v>
      </c>
    </row>
    <row r="546" spans="1:8" s="329" customFormat="1" x14ac:dyDescent="0.25">
      <c r="A546" s="366">
        <v>32111</v>
      </c>
      <c r="B546" s="389" t="s">
        <v>403</v>
      </c>
      <c r="C546" s="351"/>
      <c r="D546" s="351"/>
      <c r="E546" s="351">
        <v>400</v>
      </c>
      <c r="F546" s="351">
        <v>400</v>
      </c>
      <c r="G546" s="351">
        <v>400</v>
      </c>
      <c r="H546" s="351">
        <v>400</v>
      </c>
    </row>
    <row r="547" spans="1:8" x14ac:dyDescent="0.25">
      <c r="A547" s="366" t="s">
        <v>587</v>
      </c>
      <c r="B547" s="389" t="s">
        <v>588</v>
      </c>
      <c r="C547" s="367"/>
      <c r="D547" s="367"/>
      <c r="E547" s="367">
        <v>70</v>
      </c>
      <c r="F547" s="367">
        <v>70</v>
      </c>
      <c r="G547" s="367">
        <v>70</v>
      </c>
      <c r="H547" s="367">
        <v>70</v>
      </c>
    </row>
    <row r="548" spans="1:8" s="329" customFormat="1" hidden="1" x14ac:dyDescent="0.25">
      <c r="A548" s="364" t="s">
        <v>103</v>
      </c>
      <c r="B548" s="365" t="s">
        <v>104</v>
      </c>
      <c r="C548" s="328"/>
      <c r="D548" s="328"/>
      <c r="E548" s="328"/>
      <c r="F548" s="328"/>
      <c r="G548" s="328"/>
      <c r="H548" s="328"/>
    </row>
    <row r="549" spans="1:8" s="329" customFormat="1" x14ac:dyDescent="0.25">
      <c r="A549" s="364" t="s">
        <v>105</v>
      </c>
      <c r="B549" s="365" t="s">
        <v>106</v>
      </c>
      <c r="C549" s="328">
        <f>C550</f>
        <v>0</v>
      </c>
      <c r="D549" s="328">
        <f t="shared" ref="D549:H549" si="273">D550</f>
        <v>0</v>
      </c>
      <c r="E549" s="328">
        <f t="shared" si="273"/>
        <v>3730</v>
      </c>
      <c r="F549" s="328">
        <f t="shared" si="273"/>
        <v>3730</v>
      </c>
      <c r="G549" s="328">
        <f t="shared" si="273"/>
        <v>3730</v>
      </c>
      <c r="H549" s="328">
        <f t="shared" si="273"/>
        <v>3730</v>
      </c>
    </row>
    <row r="550" spans="1:8" x14ac:dyDescent="0.25">
      <c r="A550" s="366" t="s">
        <v>530</v>
      </c>
      <c r="B550" s="286" t="s">
        <v>407</v>
      </c>
      <c r="C550" s="351"/>
      <c r="D550" s="351"/>
      <c r="E550" s="351">
        <v>3730</v>
      </c>
      <c r="F550" s="351">
        <v>3730</v>
      </c>
      <c r="G550" s="351">
        <v>3730</v>
      </c>
      <c r="H550" s="351">
        <v>3730</v>
      </c>
    </row>
    <row r="551" spans="1:8" s="329" customFormat="1" x14ac:dyDescent="0.25">
      <c r="A551" s="364" t="s">
        <v>109</v>
      </c>
      <c r="B551" s="365" t="s">
        <v>110</v>
      </c>
      <c r="C551" s="328">
        <f>C552</f>
        <v>0</v>
      </c>
      <c r="D551" s="328">
        <f t="shared" ref="D551:H552" si="274">D552</f>
        <v>0</v>
      </c>
      <c r="E551" s="328">
        <f t="shared" si="274"/>
        <v>200</v>
      </c>
      <c r="F551" s="328">
        <f t="shared" si="274"/>
        <v>200</v>
      </c>
      <c r="G551" s="328">
        <f t="shared" si="274"/>
        <v>200</v>
      </c>
      <c r="H551" s="328">
        <f t="shared" si="274"/>
        <v>200</v>
      </c>
    </row>
    <row r="552" spans="1:8" x14ac:dyDescent="0.25">
      <c r="A552" s="364" t="s">
        <v>115</v>
      </c>
      <c r="B552" s="365" t="s">
        <v>116</v>
      </c>
      <c r="C552" s="328">
        <f>C553</f>
        <v>0</v>
      </c>
      <c r="D552" s="328">
        <f t="shared" si="274"/>
        <v>0</v>
      </c>
      <c r="E552" s="328">
        <f t="shared" si="274"/>
        <v>200</v>
      </c>
      <c r="F552" s="328">
        <f t="shared" si="274"/>
        <v>200</v>
      </c>
      <c r="G552" s="328">
        <f t="shared" si="274"/>
        <v>200</v>
      </c>
      <c r="H552" s="328">
        <f t="shared" si="274"/>
        <v>200</v>
      </c>
    </row>
    <row r="553" spans="1:8" x14ac:dyDescent="0.25">
      <c r="A553" s="366" t="s">
        <v>499</v>
      </c>
      <c r="B553" s="286" t="s">
        <v>418</v>
      </c>
      <c r="C553" s="351"/>
      <c r="D553" s="351"/>
      <c r="E553" s="351">
        <v>200</v>
      </c>
      <c r="F553" s="351">
        <v>200</v>
      </c>
      <c r="G553" s="351">
        <v>200</v>
      </c>
      <c r="H553" s="351">
        <v>200</v>
      </c>
    </row>
    <row r="554" spans="1:8" hidden="1" x14ac:dyDescent="0.25">
      <c r="A554" s="364" t="s">
        <v>123</v>
      </c>
      <c r="B554" s="365" t="s">
        <v>124</v>
      </c>
      <c r="C554" s="328">
        <f t="shared" ref="C554:D554" si="275">C555</f>
        <v>0</v>
      </c>
      <c r="D554" s="328">
        <f t="shared" si="275"/>
        <v>0</v>
      </c>
      <c r="E554" s="328"/>
      <c r="F554" s="328">
        <f>F555</f>
        <v>0</v>
      </c>
      <c r="G554" s="328">
        <f t="shared" ref="G554:H554" si="276">G555</f>
        <v>0</v>
      </c>
      <c r="H554" s="328">
        <f t="shared" si="276"/>
        <v>0</v>
      </c>
    </row>
    <row r="555" spans="1:8" hidden="1" x14ac:dyDescent="0.25">
      <c r="A555" s="366" t="s">
        <v>129</v>
      </c>
      <c r="B555" s="286" t="s">
        <v>130</v>
      </c>
      <c r="C555" s="351"/>
      <c r="D555" s="351"/>
      <c r="E555" s="351"/>
      <c r="F555" s="351"/>
      <c r="G555" s="351"/>
      <c r="H555" s="351"/>
    </row>
    <row r="556" spans="1:8" hidden="1" x14ac:dyDescent="0.25">
      <c r="A556" s="364" t="s">
        <v>109</v>
      </c>
      <c r="B556" s="365" t="s">
        <v>110</v>
      </c>
      <c r="C556" s="328">
        <f>C557</f>
        <v>0</v>
      </c>
      <c r="D556" s="328">
        <f t="shared" ref="D556:D557" si="277">D557</f>
        <v>0</v>
      </c>
      <c r="E556" s="328"/>
      <c r="F556" s="328">
        <f t="shared" ref="F556:F557" si="278">F557</f>
        <v>0</v>
      </c>
      <c r="G556" s="328">
        <f t="shared" ref="G556:G557" si="279">G557</f>
        <v>0</v>
      </c>
      <c r="H556" s="328">
        <f t="shared" ref="H556:H557" si="280">H557</f>
        <v>0</v>
      </c>
    </row>
    <row r="557" spans="1:8" s="329" customFormat="1" hidden="1" x14ac:dyDescent="0.25">
      <c r="A557" s="364" t="s">
        <v>115</v>
      </c>
      <c r="B557" s="365" t="s">
        <v>116</v>
      </c>
      <c r="C557" s="328">
        <f>C558</f>
        <v>0</v>
      </c>
      <c r="D557" s="328">
        <f t="shared" si="277"/>
        <v>0</v>
      </c>
      <c r="E557" s="328"/>
      <c r="F557" s="328">
        <f t="shared" si="278"/>
        <v>0</v>
      </c>
      <c r="G557" s="328">
        <f t="shared" si="279"/>
        <v>0</v>
      </c>
      <c r="H557" s="328">
        <f t="shared" si="280"/>
        <v>0</v>
      </c>
    </row>
    <row r="558" spans="1:8" s="329" customFormat="1" hidden="1" x14ac:dyDescent="0.25">
      <c r="A558" s="366" t="s">
        <v>499</v>
      </c>
      <c r="B558" s="286" t="s">
        <v>418</v>
      </c>
      <c r="C558" s="351"/>
      <c r="D558" s="351"/>
      <c r="E558" s="351"/>
      <c r="F558" s="351"/>
      <c r="G558" s="351"/>
      <c r="H558" s="351"/>
    </row>
    <row r="559" spans="1:8" hidden="1" x14ac:dyDescent="0.25">
      <c r="A559" s="364" t="s">
        <v>123</v>
      </c>
      <c r="B559" s="365" t="s">
        <v>124</v>
      </c>
      <c r="C559" s="328">
        <f t="shared" ref="C559:D559" si="281">C560</f>
        <v>0</v>
      </c>
      <c r="D559" s="328">
        <f t="shared" si="281"/>
        <v>0</v>
      </c>
      <c r="E559" s="328"/>
      <c r="F559" s="328">
        <f>F560</f>
        <v>0</v>
      </c>
      <c r="G559" s="328">
        <f t="shared" ref="G559:H559" si="282">G560</f>
        <v>0</v>
      </c>
      <c r="H559" s="328">
        <f t="shared" si="282"/>
        <v>0</v>
      </c>
    </row>
    <row r="560" spans="1:8" s="342" customFormat="1" hidden="1" x14ac:dyDescent="0.25">
      <c r="A560" s="366" t="s">
        <v>129</v>
      </c>
      <c r="B560" s="286" t="s">
        <v>130</v>
      </c>
      <c r="C560" s="351"/>
      <c r="D560" s="351"/>
      <c r="E560" s="351"/>
      <c r="F560" s="351"/>
      <c r="G560" s="351"/>
      <c r="H560" s="351"/>
    </row>
    <row r="561" spans="1:8" s="353" customFormat="1" ht="31.5" x14ac:dyDescent="0.25">
      <c r="A561" s="401" t="s">
        <v>318</v>
      </c>
      <c r="B561" s="402" t="s">
        <v>686</v>
      </c>
      <c r="C561" s="332">
        <f t="shared" ref="C561:D562" si="283">C562</f>
        <v>0</v>
      </c>
      <c r="D561" s="332">
        <f t="shared" si="283"/>
        <v>0</v>
      </c>
      <c r="E561" s="332">
        <f t="shared" ref="E561:F566" si="284">E562</f>
        <v>18000</v>
      </c>
      <c r="F561" s="332">
        <f t="shared" si="284"/>
        <v>18000</v>
      </c>
      <c r="G561" s="332">
        <f t="shared" ref="G561:H566" si="285">G562</f>
        <v>18000</v>
      </c>
      <c r="H561" s="332">
        <f t="shared" si="285"/>
        <v>18000</v>
      </c>
    </row>
    <row r="562" spans="1:8" s="354" customFormat="1" x14ac:dyDescent="0.25">
      <c r="A562" s="386" t="s">
        <v>355</v>
      </c>
      <c r="B562" s="387" t="s">
        <v>356</v>
      </c>
      <c r="C562" s="335">
        <f t="shared" si="283"/>
        <v>0</v>
      </c>
      <c r="D562" s="335">
        <f t="shared" si="283"/>
        <v>0</v>
      </c>
      <c r="E562" s="335">
        <f t="shared" si="284"/>
        <v>18000</v>
      </c>
      <c r="F562" s="335">
        <f t="shared" si="284"/>
        <v>18000</v>
      </c>
      <c r="G562" s="335">
        <f t="shared" si="285"/>
        <v>18000</v>
      </c>
      <c r="H562" s="335">
        <f t="shared" si="285"/>
        <v>18000</v>
      </c>
    </row>
    <row r="563" spans="1:8" x14ac:dyDescent="0.25">
      <c r="A563" s="400" t="s">
        <v>83</v>
      </c>
      <c r="B563" s="403" t="s">
        <v>84</v>
      </c>
      <c r="C563" s="339">
        <f>C564+C572</f>
        <v>0</v>
      </c>
      <c r="D563" s="339">
        <f>D564+D572</f>
        <v>0</v>
      </c>
      <c r="E563" s="339">
        <f t="shared" si="284"/>
        <v>18000</v>
      </c>
      <c r="F563" s="339">
        <f t="shared" si="284"/>
        <v>18000</v>
      </c>
      <c r="G563" s="339">
        <f t="shared" si="285"/>
        <v>18000</v>
      </c>
      <c r="H563" s="339">
        <f t="shared" si="285"/>
        <v>18000</v>
      </c>
    </row>
    <row r="564" spans="1:8" x14ac:dyDescent="0.25">
      <c r="A564" s="362" t="s">
        <v>358</v>
      </c>
      <c r="B564" s="393" t="s">
        <v>99</v>
      </c>
      <c r="C564" s="355">
        <f>C565+C571+C574</f>
        <v>0</v>
      </c>
      <c r="D564" s="355">
        <f>D565+D571+D574</f>
        <v>0</v>
      </c>
      <c r="E564" s="355">
        <f t="shared" si="284"/>
        <v>18000</v>
      </c>
      <c r="F564" s="355">
        <f t="shared" si="284"/>
        <v>18000</v>
      </c>
      <c r="G564" s="355">
        <f t="shared" si="285"/>
        <v>18000</v>
      </c>
      <c r="H564" s="355">
        <f t="shared" si="285"/>
        <v>18000</v>
      </c>
    </row>
    <row r="565" spans="1:8" x14ac:dyDescent="0.25">
      <c r="A565" s="364" t="s">
        <v>216</v>
      </c>
      <c r="B565" s="365" t="s">
        <v>141</v>
      </c>
      <c r="C565" s="328"/>
      <c r="D565" s="328"/>
      <c r="E565" s="328">
        <f t="shared" si="284"/>
        <v>18000</v>
      </c>
      <c r="F565" s="328">
        <f t="shared" si="284"/>
        <v>18000</v>
      </c>
      <c r="G565" s="328">
        <f t="shared" si="285"/>
        <v>18000</v>
      </c>
      <c r="H565" s="328">
        <f t="shared" si="285"/>
        <v>18000</v>
      </c>
    </row>
    <row r="566" spans="1:8" x14ac:dyDescent="0.25">
      <c r="A566" s="364" t="s">
        <v>149</v>
      </c>
      <c r="B566" s="365" t="s">
        <v>141</v>
      </c>
      <c r="C566" s="328"/>
      <c r="D566" s="328"/>
      <c r="E566" s="328">
        <f t="shared" si="284"/>
        <v>18000</v>
      </c>
      <c r="F566" s="328">
        <f t="shared" si="284"/>
        <v>18000</v>
      </c>
      <c r="G566" s="328">
        <f t="shared" si="285"/>
        <v>18000</v>
      </c>
      <c r="H566" s="328">
        <f t="shared" si="285"/>
        <v>18000</v>
      </c>
    </row>
    <row r="567" spans="1:8" x14ac:dyDescent="0.25">
      <c r="A567" s="366" t="s">
        <v>676</v>
      </c>
      <c r="B567" s="286" t="s">
        <v>141</v>
      </c>
      <c r="C567" s="351"/>
      <c r="D567" s="351"/>
      <c r="E567" s="351">
        <v>18000</v>
      </c>
      <c r="F567" s="351">
        <v>18000</v>
      </c>
      <c r="G567" s="351">
        <v>18000</v>
      </c>
      <c r="H567" s="351">
        <v>18000</v>
      </c>
    </row>
    <row r="568" spans="1:8" ht="63" x14ac:dyDescent="0.25">
      <c r="A568" s="401" t="s">
        <v>318</v>
      </c>
      <c r="B568" s="402" t="s">
        <v>683</v>
      </c>
      <c r="C568" s="332">
        <f t="shared" ref="C568:D569" si="286">C569</f>
        <v>0</v>
      </c>
      <c r="D568" s="332">
        <f t="shared" si="286"/>
        <v>0</v>
      </c>
      <c r="E568" s="332">
        <f>E569</f>
        <v>437409.22</v>
      </c>
      <c r="F568" s="332">
        <f>F569</f>
        <v>437409.22</v>
      </c>
      <c r="G568" s="332">
        <f t="shared" ref="G568:H568" si="287">G569</f>
        <v>365485.22</v>
      </c>
      <c r="H568" s="332">
        <f t="shared" si="287"/>
        <v>262923.40000000002</v>
      </c>
    </row>
    <row r="569" spans="1:8" x14ac:dyDescent="0.25">
      <c r="A569" s="386" t="s">
        <v>681</v>
      </c>
      <c r="B569" s="387" t="s">
        <v>682</v>
      </c>
      <c r="C569" s="335">
        <f t="shared" si="286"/>
        <v>0</v>
      </c>
      <c r="D569" s="335">
        <f t="shared" si="286"/>
        <v>0</v>
      </c>
      <c r="E569" s="335">
        <f>E570</f>
        <v>437409.22</v>
      </c>
      <c r="F569" s="335">
        <f>F570</f>
        <v>437409.22</v>
      </c>
      <c r="G569" s="335">
        <f t="shared" ref="G569:H569" si="288">G570</f>
        <v>365485.22</v>
      </c>
      <c r="H569" s="335">
        <f t="shared" si="288"/>
        <v>262923.40000000002</v>
      </c>
    </row>
    <row r="570" spans="1:8" x14ac:dyDescent="0.25">
      <c r="A570" s="400" t="s">
        <v>83</v>
      </c>
      <c r="B570" s="403" t="s">
        <v>84</v>
      </c>
      <c r="C570" s="339">
        <f t="shared" ref="C570:D570" si="289">C571+C584</f>
        <v>0</v>
      </c>
      <c r="D570" s="339">
        <f t="shared" si="289"/>
        <v>0</v>
      </c>
      <c r="E570" s="339">
        <f>E571+E584+E601</f>
        <v>437409.22</v>
      </c>
      <c r="F570" s="339">
        <f>F571+F584+F601</f>
        <v>437409.22</v>
      </c>
      <c r="G570" s="339">
        <f t="shared" ref="G570:H570" si="290">G571+G584+G601</f>
        <v>365485.22</v>
      </c>
      <c r="H570" s="339">
        <f t="shared" si="290"/>
        <v>262923.40000000002</v>
      </c>
    </row>
    <row r="571" spans="1:8" x14ac:dyDescent="0.25">
      <c r="A571" s="362">
        <v>31</v>
      </c>
      <c r="B571" s="363" t="s">
        <v>85</v>
      </c>
      <c r="C571" s="355">
        <f t="shared" ref="C571:D571" si="291">C572+C575+C581</f>
        <v>0</v>
      </c>
      <c r="D571" s="355">
        <f t="shared" si="291"/>
        <v>0</v>
      </c>
      <c r="E571" s="355">
        <f>E572+E575+E581</f>
        <v>395904.89999999997</v>
      </c>
      <c r="F571" s="355">
        <f>F572+F575+F581</f>
        <v>395904.89999999997</v>
      </c>
      <c r="G571" s="355">
        <f>G572+G575+G581</f>
        <v>323766.89999999997</v>
      </c>
      <c r="H571" s="355">
        <f>H572+H575+H581</f>
        <v>232227.62</v>
      </c>
    </row>
    <row r="572" spans="1:8" x14ac:dyDescent="0.25">
      <c r="A572" s="364">
        <v>311</v>
      </c>
      <c r="B572" s="365" t="s">
        <v>86</v>
      </c>
      <c r="C572" s="328">
        <f t="shared" ref="C572:D572" si="292">C573</f>
        <v>0</v>
      </c>
      <c r="D572" s="328">
        <f t="shared" si="292"/>
        <v>0</v>
      </c>
      <c r="E572" s="328">
        <f>E573</f>
        <v>362148.92</v>
      </c>
      <c r="F572" s="328">
        <f>F573</f>
        <v>362148.92</v>
      </c>
      <c r="G572" s="328">
        <f t="shared" ref="G572:H572" si="293">G573</f>
        <v>288648.92</v>
      </c>
      <c r="H572" s="328">
        <f t="shared" si="293"/>
        <v>201425.22999999998</v>
      </c>
    </row>
    <row r="573" spans="1:8" x14ac:dyDescent="0.25">
      <c r="A573" s="364" t="s">
        <v>520</v>
      </c>
      <c r="B573" s="365" t="s">
        <v>87</v>
      </c>
      <c r="C573" s="328">
        <f t="shared" ref="C573:D573" si="294">SUM(C574)</f>
        <v>0</v>
      </c>
      <c r="D573" s="328">
        <f t="shared" si="294"/>
        <v>0</v>
      </c>
      <c r="E573" s="328">
        <f>SUM(E574)</f>
        <v>362148.92</v>
      </c>
      <c r="F573" s="328">
        <f>SUM(F574)</f>
        <v>362148.92</v>
      </c>
      <c r="G573" s="328">
        <f t="shared" ref="G573:H573" si="295">SUM(G574)</f>
        <v>288648.92</v>
      </c>
      <c r="H573" s="328">
        <f t="shared" si="295"/>
        <v>201425.22999999998</v>
      </c>
    </row>
    <row r="574" spans="1:8" x14ac:dyDescent="0.25">
      <c r="A574" s="366" t="s">
        <v>480</v>
      </c>
      <c r="B574" s="286" t="s">
        <v>87</v>
      </c>
      <c r="C574" s="351"/>
      <c r="D574" s="351"/>
      <c r="E574" s="351">
        <v>362148.92</v>
      </c>
      <c r="F574" s="351">
        <v>362148.92</v>
      </c>
      <c r="G574" s="351">
        <v>288648.92</v>
      </c>
      <c r="H574" s="351">
        <v>201425.22999999998</v>
      </c>
    </row>
    <row r="575" spans="1:8" x14ac:dyDescent="0.25">
      <c r="A575" s="364" t="s">
        <v>94</v>
      </c>
      <c r="B575" s="365" t="s">
        <v>95</v>
      </c>
      <c r="C575" s="328">
        <f t="shared" ref="C575:D575" si="296">C576</f>
        <v>0</v>
      </c>
      <c r="D575" s="328">
        <f t="shared" si="296"/>
        <v>0</v>
      </c>
      <c r="E575" s="328">
        <f>E576</f>
        <v>5495.42</v>
      </c>
      <c r="F575" s="328">
        <f>F576</f>
        <v>5495.42</v>
      </c>
      <c r="G575" s="328">
        <f t="shared" ref="G575:H575" si="297">G576</f>
        <v>5495.42</v>
      </c>
      <c r="H575" s="328">
        <f t="shared" si="297"/>
        <v>4500</v>
      </c>
    </row>
    <row r="576" spans="1:8" s="329" customFormat="1" x14ac:dyDescent="0.25">
      <c r="A576" s="364" t="s">
        <v>96</v>
      </c>
      <c r="B576" s="365" t="s">
        <v>95</v>
      </c>
      <c r="C576" s="328">
        <f t="shared" ref="C576:D576" si="298">SUM(C578:C580)</f>
        <v>0</v>
      </c>
      <c r="D576" s="328">
        <f t="shared" si="298"/>
        <v>0</v>
      </c>
      <c r="E576" s="328">
        <f>SUM(E577:E580)</f>
        <v>5495.42</v>
      </c>
      <c r="F576" s="328">
        <f>SUM(F577:F580)</f>
        <v>5495.42</v>
      </c>
      <c r="G576" s="328">
        <f t="shared" ref="G576:H576" si="299">SUM(G577:G580)</f>
        <v>5495.42</v>
      </c>
      <c r="H576" s="328">
        <f t="shared" si="299"/>
        <v>4500</v>
      </c>
    </row>
    <row r="577" spans="1:8" s="329" customFormat="1" x14ac:dyDescent="0.25">
      <c r="A577" s="366" t="s">
        <v>485</v>
      </c>
      <c r="B577" s="286" t="s">
        <v>400</v>
      </c>
      <c r="C577" s="351"/>
      <c r="D577" s="351"/>
      <c r="E577" s="351">
        <v>300</v>
      </c>
      <c r="F577" s="351">
        <v>300</v>
      </c>
      <c r="G577" s="351">
        <v>300</v>
      </c>
      <c r="H577" s="351">
        <v>300</v>
      </c>
    </row>
    <row r="578" spans="1:8" s="329" customFormat="1" x14ac:dyDescent="0.25">
      <c r="A578" s="366" t="s">
        <v>488</v>
      </c>
      <c r="B578" s="286" t="s">
        <v>402</v>
      </c>
      <c r="C578" s="351"/>
      <c r="D578" s="351"/>
      <c r="E578" s="351">
        <v>2100</v>
      </c>
      <c r="F578" s="351">
        <v>2100</v>
      </c>
      <c r="G578" s="351">
        <v>2100</v>
      </c>
      <c r="H578" s="351">
        <v>1800</v>
      </c>
    </row>
    <row r="579" spans="1:8" s="329" customFormat="1" x14ac:dyDescent="0.25">
      <c r="A579" s="366" t="s">
        <v>624</v>
      </c>
      <c r="B579" s="286" t="s">
        <v>625</v>
      </c>
      <c r="C579" s="351"/>
      <c r="D579" s="351"/>
      <c r="E579" s="351">
        <v>1600</v>
      </c>
      <c r="F579" s="351">
        <v>1600</v>
      </c>
      <c r="G579" s="351">
        <v>1600</v>
      </c>
      <c r="H579" s="351">
        <v>1600</v>
      </c>
    </row>
    <row r="580" spans="1:8" s="329" customFormat="1" x14ac:dyDescent="0.25">
      <c r="A580" s="366" t="s">
        <v>489</v>
      </c>
      <c r="B580" s="286" t="s">
        <v>397</v>
      </c>
      <c r="C580" s="351"/>
      <c r="D580" s="351"/>
      <c r="E580" s="351">
        <v>1495.42</v>
      </c>
      <c r="F580" s="351">
        <v>1495.42</v>
      </c>
      <c r="G580" s="351">
        <v>1495.42</v>
      </c>
      <c r="H580" s="351">
        <v>800</v>
      </c>
    </row>
    <row r="581" spans="1:8" s="329" customFormat="1" x14ac:dyDescent="0.25">
      <c r="A581" s="364" t="s">
        <v>209</v>
      </c>
      <c r="B581" s="365" t="s">
        <v>97</v>
      </c>
      <c r="C581" s="328">
        <f t="shared" ref="C581:D581" si="300">C582</f>
        <v>0</v>
      </c>
      <c r="D581" s="328">
        <f t="shared" si="300"/>
        <v>0</v>
      </c>
      <c r="E581" s="328">
        <f>E582</f>
        <v>28260.559999999998</v>
      </c>
      <c r="F581" s="328">
        <f>F582</f>
        <v>28260.559999999998</v>
      </c>
      <c r="G581" s="328">
        <f t="shared" ref="G581:H581" si="301">G582</f>
        <v>29622.559999999998</v>
      </c>
      <c r="H581" s="328">
        <f t="shared" si="301"/>
        <v>26302.39</v>
      </c>
    </row>
    <row r="582" spans="1:8" s="329" customFormat="1" x14ac:dyDescent="0.25">
      <c r="A582" s="364" t="s">
        <v>210</v>
      </c>
      <c r="B582" s="365" t="s">
        <v>98</v>
      </c>
      <c r="C582" s="328">
        <f t="shared" ref="C582:D582" si="302">SUM(C583)</f>
        <v>0</v>
      </c>
      <c r="D582" s="328">
        <f t="shared" si="302"/>
        <v>0</v>
      </c>
      <c r="E582" s="328">
        <f>SUM(E583)</f>
        <v>28260.559999999998</v>
      </c>
      <c r="F582" s="328">
        <f>SUM(F583)</f>
        <v>28260.559999999998</v>
      </c>
      <c r="G582" s="328">
        <f t="shared" ref="G582:H582" si="303">SUM(G583)</f>
        <v>29622.559999999998</v>
      </c>
      <c r="H582" s="328">
        <f t="shared" si="303"/>
        <v>26302.39</v>
      </c>
    </row>
    <row r="583" spans="1:8" s="329" customFormat="1" x14ac:dyDescent="0.25">
      <c r="A583" s="366" t="s">
        <v>490</v>
      </c>
      <c r="B583" s="286" t="s">
        <v>98</v>
      </c>
      <c r="C583" s="351"/>
      <c r="D583" s="351"/>
      <c r="E583" s="351">
        <v>28260.559999999998</v>
      </c>
      <c r="F583" s="351">
        <v>28260.559999999998</v>
      </c>
      <c r="G583" s="351">
        <v>29622.559999999998</v>
      </c>
      <c r="H583" s="351">
        <v>26302.39</v>
      </c>
    </row>
    <row r="584" spans="1:8" s="329" customFormat="1" x14ac:dyDescent="0.25">
      <c r="A584" s="392" t="s">
        <v>358</v>
      </c>
      <c r="B584" s="393" t="s">
        <v>99</v>
      </c>
      <c r="C584" s="355">
        <f t="shared" ref="C584:H584" si="304">C585+C594+C596</f>
        <v>0</v>
      </c>
      <c r="D584" s="355">
        <f t="shared" si="304"/>
        <v>0</v>
      </c>
      <c r="E584" s="355">
        <f t="shared" si="304"/>
        <v>38304.32</v>
      </c>
      <c r="F584" s="355">
        <f t="shared" si="304"/>
        <v>38304.32</v>
      </c>
      <c r="G584" s="355">
        <f t="shared" si="304"/>
        <v>38454.32</v>
      </c>
      <c r="H584" s="355">
        <f t="shared" si="304"/>
        <v>27366.5</v>
      </c>
    </row>
    <row r="585" spans="1:8" x14ac:dyDescent="0.25">
      <c r="A585" s="364" t="s">
        <v>212</v>
      </c>
      <c r="B585" s="365" t="s">
        <v>100</v>
      </c>
      <c r="C585" s="328">
        <f t="shared" ref="C585:H585" si="305">C586+C590+C592</f>
        <v>0</v>
      </c>
      <c r="D585" s="328">
        <f t="shared" si="305"/>
        <v>0</v>
      </c>
      <c r="E585" s="328">
        <f t="shared" si="305"/>
        <v>35422.639999999999</v>
      </c>
      <c r="F585" s="328">
        <f t="shared" si="305"/>
        <v>35422.639999999999</v>
      </c>
      <c r="G585" s="328">
        <f t="shared" si="305"/>
        <v>35572.639999999999</v>
      </c>
      <c r="H585" s="328">
        <f t="shared" si="305"/>
        <v>25445</v>
      </c>
    </row>
    <row r="586" spans="1:8" s="329" customFormat="1" x14ac:dyDescent="0.25">
      <c r="A586" s="364" t="s">
        <v>101</v>
      </c>
      <c r="B586" s="365" t="s">
        <v>102</v>
      </c>
      <c r="C586" s="328">
        <f t="shared" ref="C586:D586" si="306">SUM(C587)</f>
        <v>0</v>
      </c>
      <c r="D586" s="328">
        <f t="shared" si="306"/>
        <v>0</v>
      </c>
      <c r="E586" s="328">
        <f>SUM(E587:E589)</f>
        <v>11616.17</v>
      </c>
      <c r="F586" s="328">
        <f>SUM(F587:F589)</f>
        <v>11616.17</v>
      </c>
      <c r="G586" s="328">
        <f t="shared" ref="G586:H586" si="307">SUM(G587:G589)</f>
        <v>11666.17</v>
      </c>
      <c r="H586" s="328">
        <f t="shared" si="307"/>
        <v>8003</v>
      </c>
    </row>
    <row r="587" spans="1:8" x14ac:dyDescent="0.25">
      <c r="A587" s="366" t="s">
        <v>521</v>
      </c>
      <c r="B587" s="286" t="s">
        <v>403</v>
      </c>
      <c r="C587" s="351">
        <v>0</v>
      </c>
      <c r="D587" s="351"/>
      <c r="E587" s="351">
        <v>5116.17</v>
      </c>
      <c r="F587" s="351">
        <v>5116.17</v>
      </c>
      <c r="G587" s="351">
        <v>5166.17</v>
      </c>
      <c r="H587" s="351">
        <v>1503</v>
      </c>
    </row>
    <row r="588" spans="1:8" s="329" customFormat="1" x14ac:dyDescent="0.25">
      <c r="A588" s="366" t="s">
        <v>528</v>
      </c>
      <c r="B588" s="286" t="s">
        <v>405</v>
      </c>
      <c r="C588" s="351"/>
      <c r="D588" s="351"/>
      <c r="E588" s="351">
        <v>4500</v>
      </c>
      <c r="F588" s="351">
        <v>4500</v>
      </c>
      <c r="G588" s="351">
        <v>4500</v>
      </c>
      <c r="H588" s="351">
        <v>4500</v>
      </c>
    </row>
    <row r="589" spans="1:8" s="329" customFormat="1" x14ac:dyDescent="0.25">
      <c r="A589" s="366" t="s">
        <v>510</v>
      </c>
      <c r="B589" s="286" t="s">
        <v>406</v>
      </c>
      <c r="C589" s="351"/>
      <c r="D589" s="351"/>
      <c r="E589" s="351">
        <v>2000</v>
      </c>
      <c r="F589" s="351">
        <v>2000</v>
      </c>
      <c r="G589" s="351">
        <v>2000</v>
      </c>
      <c r="H589" s="351">
        <v>2000</v>
      </c>
    </row>
    <row r="590" spans="1:8" x14ac:dyDescent="0.25">
      <c r="A590" s="364" t="s">
        <v>103</v>
      </c>
      <c r="B590" s="365" t="s">
        <v>104</v>
      </c>
      <c r="C590" s="328">
        <f t="shared" ref="C590:D590" si="308">SUM(C591)</f>
        <v>0</v>
      </c>
      <c r="D590" s="328">
        <f t="shared" si="308"/>
        <v>0</v>
      </c>
      <c r="E590" s="328">
        <f>SUM(E591)</f>
        <v>17905.43</v>
      </c>
      <c r="F590" s="328">
        <f>SUM(F591)</f>
        <v>17905.43</v>
      </c>
      <c r="G590" s="328">
        <f t="shared" ref="G590:H590" si="309">SUM(G591)</f>
        <v>18005.43</v>
      </c>
      <c r="H590" s="328">
        <f t="shared" si="309"/>
        <v>13200</v>
      </c>
    </row>
    <row r="591" spans="1:8" x14ac:dyDescent="0.25">
      <c r="A591" s="366" t="s">
        <v>491</v>
      </c>
      <c r="B591" s="286" t="s">
        <v>104</v>
      </c>
      <c r="C591" s="351"/>
      <c r="D591" s="351"/>
      <c r="E591" s="351">
        <v>17905.43</v>
      </c>
      <c r="F591" s="351">
        <v>17905.43</v>
      </c>
      <c r="G591" s="351">
        <v>18005.43</v>
      </c>
      <c r="H591" s="351">
        <v>13200</v>
      </c>
    </row>
    <row r="592" spans="1:8" x14ac:dyDescent="0.25">
      <c r="A592" s="364" t="s">
        <v>105</v>
      </c>
      <c r="B592" s="365" t="s">
        <v>106</v>
      </c>
      <c r="C592" s="328">
        <f t="shared" ref="C592:D592" si="310">SUM(C593)</f>
        <v>0</v>
      </c>
      <c r="D592" s="328">
        <f t="shared" si="310"/>
        <v>0</v>
      </c>
      <c r="E592" s="328">
        <f>SUM(E593)</f>
        <v>5901.04</v>
      </c>
      <c r="F592" s="328">
        <f>SUM(F593)</f>
        <v>5901.04</v>
      </c>
      <c r="G592" s="328">
        <f t="shared" ref="G592:H592" si="311">SUM(G593)</f>
        <v>5901.04</v>
      </c>
      <c r="H592" s="328">
        <f t="shared" si="311"/>
        <v>4242</v>
      </c>
    </row>
    <row r="593" spans="1:8" x14ac:dyDescent="0.25">
      <c r="A593" s="366" t="s">
        <v>511</v>
      </c>
      <c r="B593" s="286" t="s">
        <v>408</v>
      </c>
      <c r="C593" s="351">
        <v>0</v>
      </c>
      <c r="D593" s="351"/>
      <c r="E593" s="351">
        <v>5901.04</v>
      </c>
      <c r="F593" s="351">
        <v>5901.04</v>
      </c>
      <c r="G593" s="351">
        <v>5901.04</v>
      </c>
      <c r="H593" s="351">
        <v>4242</v>
      </c>
    </row>
    <row r="594" spans="1:8" hidden="1" x14ac:dyDescent="0.25">
      <c r="A594" s="364" t="s">
        <v>109</v>
      </c>
      <c r="B594" s="365" t="s">
        <v>110</v>
      </c>
      <c r="C594" s="328">
        <f t="shared" ref="C594:D594" si="312">C595</f>
        <v>0</v>
      </c>
      <c r="D594" s="328">
        <f t="shared" si="312"/>
        <v>0</v>
      </c>
      <c r="E594" s="328"/>
      <c r="F594" s="328">
        <f>F595</f>
        <v>0</v>
      </c>
      <c r="G594" s="328">
        <f t="shared" ref="G594:H594" si="313">G595</f>
        <v>0</v>
      </c>
      <c r="H594" s="328">
        <f t="shared" si="313"/>
        <v>0</v>
      </c>
    </row>
    <row r="595" spans="1:8" hidden="1" x14ac:dyDescent="0.25">
      <c r="A595" s="364" t="s">
        <v>115</v>
      </c>
      <c r="B595" s="365" t="s">
        <v>116</v>
      </c>
      <c r="C595" s="328"/>
      <c r="D595" s="328"/>
      <c r="E595" s="328"/>
      <c r="F595" s="328"/>
      <c r="G595" s="328"/>
      <c r="H595" s="328"/>
    </row>
    <row r="596" spans="1:8" x14ac:dyDescent="0.25">
      <c r="A596" s="364" t="s">
        <v>123</v>
      </c>
      <c r="B596" s="365" t="s">
        <v>124</v>
      </c>
      <c r="C596" s="328">
        <f t="shared" ref="C596:D596" si="314">C597+C599</f>
        <v>0</v>
      </c>
      <c r="D596" s="328">
        <f t="shared" si="314"/>
        <v>0</v>
      </c>
      <c r="E596" s="328">
        <f>E597+E599</f>
        <v>2881.68</v>
      </c>
      <c r="F596" s="328">
        <f>F597+F599</f>
        <v>2881.68</v>
      </c>
      <c r="G596" s="328">
        <f t="shared" ref="G596:H596" si="315">G597+G599</f>
        <v>2881.68</v>
      </c>
      <c r="H596" s="328">
        <f t="shared" si="315"/>
        <v>1921.5</v>
      </c>
    </row>
    <row r="597" spans="1:8" x14ac:dyDescent="0.25">
      <c r="A597" s="364" t="s">
        <v>215</v>
      </c>
      <c r="B597" s="365" t="s">
        <v>135</v>
      </c>
      <c r="C597" s="328">
        <f t="shared" ref="C597:D597" si="316">C598</f>
        <v>0</v>
      </c>
      <c r="D597" s="328">
        <f t="shared" si="316"/>
        <v>0</v>
      </c>
      <c r="E597" s="328">
        <f>E598</f>
        <v>2440.2399999999998</v>
      </c>
      <c r="F597" s="328">
        <f>F598</f>
        <v>2440.2399999999998</v>
      </c>
      <c r="G597" s="328">
        <f t="shared" ref="G597:H597" si="317">G598</f>
        <v>2440.2399999999998</v>
      </c>
      <c r="H597" s="328">
        <f t="shared" si="317"/>
        <v>1921.5</v>
      </c>
    </row>
    <row r="598" spans="1:8" x14ac:dyDescent="0.25">
      <c r="A598" s="366" t="s">
        <v>514</v>
      </c>
      <c r="B598" s="286" t="s">
        <v>438</v>
      </c>
      <c r="C598" s="351">
        <v>0</v>
      </c>
      <c r="D598" s="351"/>
      <c r="E598" s="351">
        <v>2440.2399999999998</v>
      </c>
      <c r="F598" s="351">
        <v>2440.2399999999998</v>
      </c>
      <c r="G598" s="351">
        <v>2440.2399999999998</v>
      </c>
      <c r="H598" s="351">
        <v>1921.5</v>
      </c>
    </row>
    <row r="599" spans="1:8" x14ac:dyDescent="0.25">
      <c r="A599" s="364" t="s">
        <v>138</v>
      </c>
      <c r="B599" s="365" t="s">
        <v>139</v>
      </c>
      <c r="C599" s="328">
        <f t="shared" ref="C599:D599" si="318">C600</f>
        <v>0</v>
      </c>
      <c r="D599" s="328">
        <f t="shared" si="318"/>
        <v>0</v>
      </c>
      <c r="E599" s="328">
        <f>E600</f>
        <v>441.44</v>
      </c>
      <c r="F599" s="328">
        <f>F600</f>
        <v>441.44</v>
      </c>
      <c r="G599" s="328">
        <f t="shared" ref="G599:H599" si="319">G600</f>
        <v>441.44</v>
      </c>
      <c r="H599" s="328">
        <f t="shared" si="319"/>
        <v>0</v>
      </c>
    </row>
    <row r="600" spans="1:8" x14ac:dyDescent="0.25">
      <c r="A600" s="366" t="s">
        <v>515</v>
      </c>
      <c r="B600" s="286" t="s">
        <v>311</v>
      </c>
      <c r="C600" s="351">
        <v>0</v>
      </c>
      <c r="D600" s="351"/>
      <c r="E600" s="351">
        <v>441.44</v>
      </c>
      <c r="F600" s="351">
        <v>441.44</v>
      </c>
      <c r="G600" s="351">
        <v>441.44</v>
      </c>
      <c r="H600" s="351"/>
    </row>
    <row r="601" spans="1:8" x14ac:dyDescent="0.25">
      <c r="A601" s="392">
        <v>37</v>
      </c>
      <c r="B601" s="393" t="s">
        <v>159</v>
      </c>
      <c r="C601" s="355">
        <f>C602</f>
        <v>0</v>
      </c>
      <c r="D601" s="355">
        <f t="shared" ref="D601:H603" si="320">D602</f>
        <v>0</v>
      </c>
      <c r="E601" s="355">
        <f t="shared" si="320"/>
        <v>3200</v>
      </c>
      <c r="F601" s="355">
        <f t="shared" si="320"/>
        <v>3200</v>
      </c>
      <c r="G601" s="355">
        <f t="shared" si="320"/>
        <v>3264</v>
      </c>
      <c r="H601" s="355">
        <f t="shared" si="320"/>
        <v>3329.28</v>
      </c>
    </row>
    <row r="602" spans="1:8" x14ac:dyDescent="0.25">
      <c r="A602" s="364">
        <v>372</v>
      </c>
      <c r="B602" s="365" t="s">
        <v>160</v>
      </c>
      <c r="C602" s="328">
        <f>C603</f>
        <v>0</v>
      </c>
      <c r="D602" s="328">
        <f t="shared" si="320"/>
        <v>0</v>
      </c>
      <c r="E602" s="328">
        <f t="shared" si="320"/>
        <v>3200</v>
      </c>
      <c r="F602" s="328">
        <f t="shared" si="320"/>
        <v>3200</v>
      </c>
      <c r="G602" s="328">
        <f t="shared" si="320"/>
        <v>3264</v>
      </c>
      <c r="H602" s="328">
        <f t="shared" si="320"/>
        <v>3329.28</v>
      </c>
    </row>
    <row r="603" spans="1:8" x14ac:dyDescent="0.25">
      <c r="A603" s="364">
        <v>3721</v>
      </c>
      <c r="B603" s="365" t="s">
        <v>161</v>
      </c>
      <c r="C603" s="328">
        <f>C604</f>
        <v>0</v>
      </c>
      <c r="D603" s="328">
        <f t="shared" si="320"/>
        <v>0</v>
      </c>
      <c r="E603" s="328">
        <f t="shared" si="320"/>
        <v>3200</v>
      </c>
      <c r="F603" s="328">
        <f t="shared" si="320"/>
        <v>3200</v>
      </c>
      <c r="G603" s="328">
        <f t="shared" si="320"/>
        <v>3264</v>
      </c>
      <c r="H603" s="328">
        <f t="shared" si="320"/>
        <v>3329.28</v>
      </c>
    </row>
    <row r="604" spans="1:8" x14ac:dyDescent="0.25">
      <c r="A604" s="366" t="s">
        <v>643</v>
      </c>
      <c r="B604" s="286" t="s">
        <v>459</v>
      </c>
      <c r="C604" s="351">
        <v>0</v>
      </c>
      <c r="D604" s="351">
        <v>0</v>
      </c>
      <c r="E604" s="351">
        <v>3200</v>
      </c>
      <c r="F604" s="351">
        <v>3200</v>
      </c>
      <c r="G604" s="351">
        <v>3264</v>
      </c>
      <c r="H604" s="351">
        <v>3329.28</v>
      </c>
    </row>
    <row r="605" spans="1:8" ht="47.25" x14ac:dyDescent="0.25">
      <c r="A605" s="401" t="s">
        <v>318</v>
      </c>
      <c r="B605" s="402" t="s">
        <v>550</v>
      </c>
      <c r="C605" s="332">
        <f t="shared" ref="C605:H606" si="321">C606</f>
        <v>0</v>
      </c>
      <c r="D605" s="332">
        <f t="shared" si="321"/>
        <v>0</v>
      </c>
      <c r="E605" s="332">
        <f>E606</f>
        <v>14000</v>
      </c>
      <c r="F605" s="332">
        <f>F606</f>
        <v>14000</v>
      </c>
      <c r="G605" s="332">
        <f>G606</f>
        <v>0</v>
      </c>
      <c r="H605" s="332">
        <f>H606</f>
        <v>0</v>
      </c>
    </row>
    <row r="606" spans="1:8" x14ac:dyDescent="0.25">
      <c r="A606" s="386">
        <v>52</v>
      </c>
      <c r="B606" s="387" t="s">
        <v>677</v>
      </c>
      <c r="C606" s="335">
        <f t="shared" si="321"/>
        <v>0</v>
      </c>
      <c r="D606" s="335">
        <f t="shared" si="321"/>
        <v>0</v>
      </c>
      <c r="E606" s="335">
        <f t="shared" si="321"/>
        <v>14000</v>
      </c>
      <c r="F606" s="335">
        <f t="shared" si="321"/>
        <v>14000</v>
      </c>
      <c r="G606" s="335">
        <f t="shared" si="321"/>
        <v>0</v>
      </c>
      <c r="H606" s="335">
        <f t="shared" si="321"/>
        <v>0</v>
      </c>
    </row>
    <row r="607" spans="1:8" x14ac:dyDescent="0.25">
      <c r="A607" s="400" t="s">
        <v>83</v>
      </c>
      <c r="B607" s="403" t="s">
        <v>84</v>
      </c>
      <c r="C607" s="339">
        <f t="shared" ref="C607" si="322">C608+C619</f>
        <v>0</v>
      </c>
      <c r="D607" s="339">
        <f>D608+D619</f>
        <v>0</v>
      </c>
      <c r="E607" s="339">
        <f t="shared" ref="E607" si="323">E608+E619</f>
        <v>14000</v>
      </c>
      <c r="F607" s="339">
        <f t="shared" ref="F607:H607" si="324">F608+F619</f>
        <v>14000</v>
      </c>
      <c r="G607" s="339">
        <f t="shared" si="324"/>
        <v>0</v>
      </c>
      <c r="H607" s="339">
        <f t="shared" si="324"/>
        <v>0</v>
      </c>
    </row>
    <row r="608" spans="1:8" x14ac:dyDescent="0.25">
      <c r="A608" s="362">
        <v>31</v>
      </c>
      <c r="B608" s="363" t="s">
        <v>85</v>
      </c>
      <c r="C608" s="355">
        <f t="shared" ref="C608" si="325">C609+C612</f>
        <v>0</v>
      </c>
      <c r="D608" s="355">
        <f t="shared" ref="D608:H608" si="326">D609+D612</f>
        <v>0</v>
      </c>
      <c r="E608" s="355">
        <f t="shared" ref="E608" si="327">E609+E612</f>
        <v>5200</v>
      </c>
      <c r="F608" s="355">
        <f t="shared" si="326"/>
        <v>5200</v>
      </c>
      <c r="G608" s="355">
        <f t="shared" si="326"/>
        <v>0</v>
      </c>
      <c r="H608" s="355">
        <f t="shared" si="326"/>
        <v>0</v>
      </c>
    </row>
    <row r="609" spans="1:8" x14ac:dyDescent="0.25">
      <c r="A609" s="364">
        <v>311</v>
      </c>
      <c r="B609" s="365" t="s">
        <v>86</v>
      </c>
      <c r="C609" s="328">
        <f t="shared" ref="C609:H609" si="328">C610</f>
        <v>0</v>
      </c>
      <c r="D609" s="328">
        <f t="shared" si="328"/>
        <v>0</v>
      </c>
      <c r="E609" s="328">
        <f t="shared" si="328"/>
        <v>5200</v>
      </c>
      <c r="F609" s="328">
        <f t="shared" si="328"/>
        <v>5200</v>
      </c>
      <c r="G609" s="328">
        <f t="shared" si="328"/>
        <v>0</v>
      </c>
      <c r="H609" s="328">
        <f t="shared" si="328"/>
        <v>0</v>
      </c>
    </row>
    <row r="610" spans="1:8" x14ac:dyDescent="0.25">
      <c r="A610" s="364" t="s">
        <v>520</v>
      </c>
      <c r="B610" s="365" t="s">
        <v>87</v>
      </c>
      <c r="C610" s="328">
        <f t="shared" ref="C610:H610" si="329">SUM(C611)</f>
        <v>0</v>
      </c>
      <c r="D610" s="328">
        <f t="shared" si="329"/>
        <v>0</v>
      </c>
      <c r="E610" s="328">
        <f t="shared" si="329"/>
        <v>5200</v>
      </c>
      <c r="F610" s="328">
        <f t="shared" si="329"/>
        <v>5200</v>
      </c>
      <c r="G610" s="328">
        <f t="shared" si="329"/>
        <v>0</v>
      </c>
      <c r="H610" s="328">
        <f t="shared" si="329"/>
        <v>0</v>
      </c>
    </row>
    <row r="611" spans="1:8" s="329" customFormat="1" x14ac:dyDescent="0.25">
      <c r="A611" s="366" t="s">
        <v>480</v>
      </c>
      <c r="B611" s="286" t="s">
        <v>87</v>
      </c>
      <c r="C611" s="351">
        <v>0</v>
      </c>
      <c r="D611" s="351"/>
      <c r="E611" s="351">
        <v>5200</v>
      </c>
      <c r="F611" s="351">
        <v>5200</v>
      </c>
      <c r="G611" s="351"/>
      <c r="H611" s="351"/>
    </row>
    <row r="612" spans="1:8" s="329" customFormat="1" hidden="1" x14ac:dyDescent="0.25">
      <c r="A612" s="364" t="s">
        <v>94</v>
      </c>
      <c r="B612" s="365" t="s">
        <v>95</v>
      </c>
      <c r="C612" s="328">
        <f t="shared" ref="C612:D612" si="330">C613</f>
        <v>0</v>
      </c>
      <c r="D612" s="328">
        <f t="shared" si="330"/>
        <v>0</v>
      </c>
      <c r="E612" s="328"/>
      <c r="F612" s="328">
        <f>F613</f>
        <v>0</v>
      </c>
      <c r="G612" s="328">
        <f t="shared" ref="G612:H612" si="331">G613</f>
        <v>0</v>
      </c>
      <c r="H612" s="328">
        <f t="shared" si="331"/>
        <v>0</v>
      </c>
    </row>
    <row r="613" spans="1:8" s="329" customFormat="1" hidden="1" x14ac:dyDescent="0.25">
      <c r="A613" s="364" t="s">
        <v>96</v>
      </c>
      <c r="B613" s="365" t="s">
        <v>95</v>
      </c>
      <c r="C613" s="328">
        <f t="shared" ref="C613:D613" si="332">SUM(C614:C615)</f>
        <v>0</v>
      </c>
      <c r="D613" s="328">
        <f t="shared" si="332"/>
        <v>0</v>
      </c>
      <c r="E613" s="328"/>
      <c r="F613" s="328">
        <f>SUM(F614:F615)</f>
        <v>0</v>
      </c>
      <c r="G613" s="328">
        <f>SUM(G614:G615)</f>
        <v>0</v>
      </c>
      <c r="H613" s="328">
        <f>SUM(H614:H615)</f>
        <v>0</v>
      </c>
    </row>
    <row r="614" spans="1:8" s="329" customFormat="1" hidden="1" x14ac:dyDescent="0.25">
      <c r="A614" s="366" t="s">
        <v>488</v>
      </c>
      <c r="B614" s="286" t="s">
        <v>402</v>
      </c>
      <c r="C614" s="351">
        <v>0</v>
      </c>
      <c r="D614" s="351">
        <v>0</v>
      </c>
      <c r="E614" s="351"/>
      <c r="F614" s="351">
        <v>0</v>
      </c>
      <c r="G614" s="351">
        <v>0</v>
      </c>
      <c r="H614" s="351">
        <v>0</v>
      </c>
    </row>
    <row r="615" spans="1:8" s="329" customFormat="1" hidden="1" x14ac:dyDescent="0.25">
      <c r="A615" s="366" t="s">
        <v>489</v>
      </c>
      <c r="B615" s="286" t="s">
        <v>397</v>
      </c>
      <c r="C615" s="351">
        <v>0</v>
      </c>
      <c r="D615" s="351">
        <v>0</v>
      </c>
      <c r="E615" s="351"/>
      <c r="F615" s="351">
        <v>0</v>
      </c>
      <c r="G615" s="351">
        <v>0</v>
      </c>
      <c r="H615" s="351">
        <v>0</v>
      </c>
    </row>
    <row r="616" spans="1:8" s="329" customFormat="1" hidden="1" x14ac:dyDescent="0.25">
      <c r="A616" s="364" t="s">
        <v>209</v>
      </c>
      <c r="B616" s="365" t="s">
        <v>97</v>
      </c>
      <c r="C616" s="328">
        <f t="shared" ref="C616:D616" si="333">C617</f>
        <v>0</v>
      </c>
      <c r="D616" s="328">
        <f t="shared" si="333"/>
        <v>0</v>
      </c>
      <c r="E616" s="328"/>
      <c r="F616" s="328">
        <f>F617</f>
        <v>0</v>
      </c>
      <c r="G616" s="328">
        <f t="shared" ref="G616:H616" si="334">G617</f>
        <v>0</v>
      </c>
      <c r="H616" s="328">
        <f t="shared" si="334"/>
        <v>0</v>
      </c>
    </row>
    <row r="617" spans="1:8" s="329" customFormat="1" hidden="1" x14ac:dyDescent="0.25">
      <c r="A617" s="364" t="s">
        <v>210</v>
      </c>
      <c r="B617" s="365" t="s">
        <v>98</v>
      </c>
      <c r="C617" s="328">
        <f t="shared" ref="C617:D617" si="335">SUM(C618)</f>
        <v>0</v>
      </c>
      <c r="D617" s="328">
        <f t="shared" si="335"/>
        <v>0</v>
      </c>
      <c r="E617" s="328"/>
      <c r="F617" s="328">
        <f>SUM(F618)</f>
        <v>0</v>
      </c>
      <c r="G617" s="328">
        <f t="shared" ref="G617:H617" si="336">SUM(G618)</f>
        <v>0</v>
      </c>
      <c r="H617" s="328">
        <f t="shared" si="336"/>
        <v>0</v>
      </c>
    </row>
    <row r="618" spans="1:8" s="329" customFormat="1" hidden="1" x14ac:dyDescent="0.25">
      <c r="A618" s="366" t="s">
        <v>490</v>
      </c>
      <c r="B618" s="286" t="s">
        <v>98</v>
      </c>
      <c r="C618" s="351">
        <v>0</v>
      </c>
      <c r="D618" s="351">
        <v>0</v>
      </c>
      <c r="E618" s="351"/>
      <c r="F618" s="351">
        <v>0</v>
      </c>
      <c r="G618" s="351">
        <v>0</v>
      </c>
      <c r="H618" s="351">
        <v>0</v>
      </c>
    </row>
    <row r="619" spans="1:8" s="329" customFormat="1" x14ac:dyDescent="0.25">
      <c r="A619" s="392" t="s">
        <v>358</v>
      </c>
      <c r="B619" s="393" t="s">
        <v>99</v>
      </c>
      <c r="C619" s="355">
        <f t="shared" ref="C619" si="337">C620+C629+C635+C642</f>
        <v>0</v>
      </c>
      <c r="D619" s="355">
        <f>D620+D629+D635+D642</f>
        <v>0</v>
      </c>
      <c r="E619" s="355">
        <f t="shared" ref="E619" si="338">E620+E629+E635+E642</f>
        <v>8800</v>
      </c>
      <c r="F619" s="355">
        <f t="shared" ref="F619:H619" si="339">F620+F629+F635+F642</f>
        <v>8800</v>
      </c>
      <c r="G619" s="355">
        <f t="shared" si="339"/>
        <v>0</v>
      </c>
      <c r="H619" s="355">
        <f t="shared" si="339"/>
        <v>0</v>
      </c>
    </row>
    <row r="620" spans="1:8" x14ac:dyDescent="0.25">
      <c r="A620" s="364" t="s">
        <v>212</v>
      </c>
      <c r="B620" s="365" t="s">
        <v>100</v>
      </c>
      <c r="C620" s="328">
        <f t="shared" ref="C620" si="340">C621+C625+C627</f>
        <v>0</v>
      </c>
      <c r="D620" s="328">
        <f>D621+D625+D627</f>
        <v>0</v>
      </c>
      <c r="E620" s="328">
        <f t="shared" ref="E620" si="341">E621+E625+E627</f>
        <v>3000</v>
      </c>
      <c r="F620" s="328">
        <f t="shared" ref="F620:H620" si="342">F621+F625+F627</f>
        <v>3000</v>
      </c>
      <c r="G620" s="328">
        <f t="shared" si="342"/>
        <v>0</v>
      </c>
      <c r="H620" s="328">
        <f t="shared" si="342"/>
        <v>0</v>
      </c>
    </row>
    <row r="621" spans="1:8" s="329" customFormat="1" x14ac:dyDescent="0.25">
      <c r="A621" s="364" t="s">
        <v>101</v>
      </c>
      <c r="B621" s="365" t="s">
        <v>102</v>
      </c>
      <c r="C621" s="328">
        <f t="shared" ref="C621" si="343">C622+C623+C624</f>
        <v>0</v>
      </c>
      <c r="D621" s="328">
        <f>D622+D623+D624</f>
        <v>0</v>
      </c>
      <c r="E621" s="328">
        <f t="shared" ref="E621" si="344">E622+E623+E624</f>
        <v>1600</v>
      </c>
      <c r="F621" s="328">
        <f t="shared" ref="F621:H621" si="345">F622+F623+F624</f>
        <v>1600</v>
      </c>
      <c r="G621" s="328">
        <f t="shared" si="345"/>
        <v>0</v>
      </c>
      <c r="H621" s="328">
        <f t="shared" si="345"/>
        <v>0</v>
      </c>
    </row>
    <row r="622" spans="1:8" s="329" customFormat="1" x14ac:dyDescent="0.25">
      <c r="A622" s="366" t="s">
        <v>521</v>
      </c>
      <c r="B622" s="286" t="s">
        <v>403</v>
      </c>
      <c r="C622" s="351">
        <v>0</v>
      </c>
      <c r="D622" s="351"/>
      <c r="E622" s="351">
        <v>600</v>
      </c>
      <c r="F622" s="351">
        <v>600</v>
      </c>
      <c r="G622" s="351">
        <v>0</v>
      </c>
      <c r="H622" s="351">
        <v>0</v>
      </c>
    </row>
    <row r="623" spans="1:8" x14ac:dyDescent="0.25">
      <c r="A623" s="366" t="s">
        <v>528</v>
      </c>
      <c r="B623" s="286" t="s">
        <v>405</v>
      </c>
      <c r="C623" s="351"/>
      <c r="D623" s="351"/>
      <c r="E623" s="351">
        <v>600</v>
      </c>
      <c r="F623" s="351">
        <v>600</v>
      </c>
      <c r="G623" s="351"/>
      <c r="H623" s="351"/>
    </row>
    <row r="624" spans="1:8" x14ac:dyDescent="0.25">
      <c r="A624" s="366" t="s">
        <v>510</v>
      </c>
      <c r="B624" s="286" t="s">
        <v>406</v>
      </c>
      <c r="C624" s="351"/>
      <c r="D624" s="351"/>
      <c r="E624" s="351">
        <v>400</v>
      </c>
      <c r="F624" s="351">
        <v>400</v>
      </c>
      <c r="G624" s="351"/>
      <c r="H624" s="351"/>
    </row>
    <row r="625" spans="1:8" x14ac:dyDescent="0.25">
      <c r="A625" s="364" t="s">
        <v>103</v>
      </c>
      <c r="B625" s="365" t="s">
        <v>104</v>
      </c>
      <c r="C625" s="328">
        <f t="shared" ref="C625:H625" si="346">SUM(C626)</f>
        <v>0</v>
      </c>
      <c r="D625" s="328">
        <f t="shared" si="346"/>
        <v>0</v>
      </c>
      <c r="E625" s="328">
        <f t="shared" si="346"/>
        <v>400</v>
      </c>
      <c r="F625" s="328">
        <f t="shared" si="346"/>
        <v>400</v>
      </c>
      <c r="G625" s="328">
        <f t="shared" si="346"/>
        <v>0</v>
      </c>
      <c r="H625" s="328">
        <f t="shared" si="346"/>
        <v>0</v>
      </c>
    </row>
    <row r="626" spans="1:8" x14ac:dyDescent="0.25">
      <c r="A626" s="366" t="s">
        <v>491</v>
      </c>
      <c r="B626" s="286" t="s">
        <v>104</v>
      </c>
      <c r="C626" s="351">
        <v>0</v>
      </c>
      <c r="D626" s="351"/>
      <c r="E626" s="351">
        <v>400</v>
      </c>
      <c r="F626" s="351">
        <v>400</v>
      </c>
      <c r="G626" s="351">
        <v>0</v>
      </c>
      <c r="H626" s="351">
        <v>0</v>
      </c>
    </row>
    <row r="627" spans="1:8" s="329" customFormat="1" x14ac:dyDescent="0.25">
      <c r="A627" s="364" t="s">
        <v>105</v>
      </c>
      <c r="B627" s="365" t="s">
        <v>106</v>
      </c>
      <c r="C627" s="328">
        <f t="shared" ref="C627:H627" si="347">SUM(C628)</f>
        <v>0</v>
      </c>
      <c r="D627" s="328">
        <f t="shared" si="347"/>
        <v>0</v>
      </c>
      <c r="E627" s="328">
        <f t="shared" si="347"/>
        <v>1000</v>
      </c>
      <c r="F627" s="328">
        <f t="shared" si="347"/>
        <v>1000</v>
      </c>
      <c r="G627" s="328">
        <f t="shared" si="347"/>
        <v>0</v>
      </c>
      <c r="H627" s="328">
        <f t="shared" si="347"/>
        <v>0</v>
      </c>
    </row>
    <row r="628" spans="1:8" s="329" customFormat="1" x14ac:dyDescent="0.25">
      <c r="A628" s="366" t="s">
        <v>511</v>
      </c>
      <c r="B628" s="286" t="s">
        <v>408</v>
      </c>
      <c r="C628" s="351">
        <v>0</v>
      </c>
      <c r="D628" s="351"/>
      <c r="E628" s="351">
        <v>1000</v>
      </c>
      <c r="F628" s="351">
        <v>1000</v>
      </c>
      <c r="G628" s="351">
        <v>0</v>
      </c>
      <c r="H628" s="351">
        <v>0</v>
      </c>
    </row>
    <row r="629" spans="1:8" x14ac:dyDescent="0.25">
      <c r="A629" s="364" t="s">
        <v>109</v>
      </c>
      <c r="B629" s="365" t="s">
        <v>110</v>
      </c>
      <c r="C629" s="328">
        <f t="shared" ref="C629" si="348">C630+C633</f>
        <v>0</v>
      </c>
      <c r="D629" s="328">
        <f>D630+D633</f>
        <v>0</v>
      </c>
      <c r="E629" s="328">
        <f t="shared" ref="E629" si="349">E630+E633</f>
        <v>2500</v>
      </c>
      <c r="F629" s="328">
        <f t="shared" ref="F629:H629" si="350">F630+F633</f>
        <v>2500</v>
      </c>
      <c r="G629" s="328">
        <f t="shared" si="350"/>
        <v>0</v>
      </c>
      <c r="H629" s="328">
        <f t="shared" si="350"/>
        <v>0</v>
      </c>
    </row>
    <row r="630" spans="1:8" s="329" customFormat="1" x14ac:dyDescent="0.25">
      <c r="A630" s="364" t="s">
        <v>111</v>
      </c>
      <c r="B630" s="365" t="s">
        <v>112</v>
      </c>
      <c r="C630" s="328">
        <f>C631+C632</f>
        <v>0</v>
      </c>
      <c r="D630" s="328">
        <f t="shared" ref="D630:E630" si="351">D631+D632</f>
        <v>0</v>
      </c>
      <c r="E630" s="328">
        <f t="shared" si="351"/>
        <v>2000</v>
      </c>
      <c r="F630" s="328">
        <f t="shared" ref="F630:H630" si="352">F631+F632</f>
        <v>2000</v>
      </c>
      <c r="G630" s="328">
        <f t="shared" si="352"/>
        <v>0</v>
      </c>
      <c r="H630" s="328">
        <f t="shared" si="352"/>
        <v>0</v>
      </c>
    </row>
    <row r="631" spans="1:8" x14ac:dyDescent="0.25">
      <c r="A631" s="366" t="s">
        <v>512</v>
      </c>
      <c r="B631" s="286" t="s">
        <v>410</v>
      </c>
      <c r="C631" s="351"/>
      <c r="D631" s="351"/>
      <c r="E631" s="351">
        <v>800</v>
      </c>
      <c r="F631" s="351">
        <v>800</v>
      </c>
      <c r="G631" s="351"/>
      <c r="H631" s="351"/>
    </row>
    <row r="632" spans="1:8" x14ac:dyDescent="0.25">
      <c r="A632" s="366" t="s">
        <v>534</v>
      </c>
      <c r="B632" s="286" t="s">
        <v>414</v>
      </c>
      <c r="C632" s="351"/>
      <c r="D632" s="351"/>
      <c r="E632" s="351">
        <v>1200</v>
      </c>
      <c r="F632" s="351">
        <v>1200</v>
      </c>
      <c r="G632" s="351"/>
      <c r="H632" s="351"/>
    </row>
    <row r="633" spans="1:8" x14ac:dyDescent="0.25">
      <c r="A633" s="364" t="s">
        <v>115</v>
      </c>
      <c r="B633" s="365" t="s">
        <v>116</v>
      </c>
      <c r="C633" s="328">
        <f t="shared" ref="C633:H633" si="353">C634</f>
        <v>0</v>
      </c>
      <c r="D633" s="328">
        <f t="shared" si="353"/>
        <v>0</v>
      </c>
      <c r="E633" s="328">
        <f t="shared" si="353"/>
        <v>500</v>
      </c>
      <c r="F633" s="328">
        <f t="shared" si="353"/>
        <v>500</v>
      </c>
      <c r="G633" s="328">
        <f t="shared" si="353"/>
        <v>0</v>
      </c>
      <c r="H633" s="328">
        <f t="shared" si="353"/>
        <v>0</v>
      </c>
    </row>
    <row r="634" spans="1:8" s="329" customFormat="1" x14ac:dyDescent="0.25">
      <c r="A634" s="366" t="s">
        <v>499</v>
      </c>
      <c r="B634" s="286" t="s">
        <v>418</v>
      </c>
      <c r="C634" s="351">
        <v>0</v>
      </c>
      <c r="D634" s="351"/>
      <c r="E634" s="351">
        <v>500</v>
      </c>
      <c r="F634" s="351">
        <v>500</v>
      </c>
      <c r="G634" s="351">
        <v>0</v>
      </c>
      <c r="H634" s="351">
        <v>0</v>
      </c>
    </row>
    <row r="635" spans="1:8" s="329" customFormat="1" x14ac:dyDescent="0.25">
      <c r="A635" s="364" t="s">
        <v>123</v>
      </c>
      <c r="B635" s="365" t="s">
        <v>124</v>
      </c>
      <c r="C635" s="328">
        <f t="shared" ref="C635" si="354">C636+C638+C640</f>
        <v>0</v>
      </c>
      <c r="D635" s="328">
        <f>D636+D638+D640</f>
        <v>0</v>
      </c>
      <c r="E635" s="328">
        <f t="shared" ref="E635" si="355">E636+E638+E640</f>
        <v>2300</v>
      </c>
      <c r="F635" s="328">
        <f t="shared" ref="F635:H635" si="356">F636+F638+F640</f>
        <v>2300</v>
      </c>
      <c r="G635" s="328">
        <f t="shared" si="356"/>
        <v>0</v>
      </c>
      <c r="H635" s="328">
        <f t="shared" si="356"/>
        <v>0</v>
      </c>
    </row>
    <row r="636" spans="1:8" x14ac:dyDescent="0.25">
      <c r="A636" s="364" t="s">
        <v>125</v>
      </c>
      <c r="B636" s="365" t="s">
        <v>585</v>
      </c>
      <c r="C636" s="328">
        <f>C637</f>
        <v>0</v>
      </c>
      <c r="D636" s="328">
        <f>D637</f>
        <v>0</v>
      </c>
      <c r="E636" s="328">
        <f t="shared" ref="E636:H636" si="357">E637</f>
        <v>800</v>
      </c>
      <c r="F636" s="328">
        <f t="shared" si="357"/>
        <v>800</v>
      </c>
      <c r="G636" s="328">
        <f t="shared" si="357"/>
        <v>0</v>
      </c>
      <c r="H636" s="328">
        <f t="shared" si="357"/>
        <v>0</v>
      </c>
    </row>
    <row r="637" spans="1:8" x14ac:dyDescent="0.25">
      <c r="A637" s="366" t="s">
        <v>561</v>
      </c>
      <c r="B637" s="286" t="s">
        <v>562</v>
      </c>
      <c r="C637" s="351"/>
      <c r="D637" s="351"/>
      <c r="E637" s="351">
        <v>800</v>
      </c>
      <c r="F637" s="351">
        <v>800</v>
      </c>
      <c r="G637" s="351"/>
      <c r="H637" s="351"/>
    </row>
    <row r="638" spans="1:8" x14ac:dyDescent="0.25">
      <c r="A638" s="364" t="s">
        <v>215</v>
      </c>
      <c r="B638" s="365" t="s">
        <v>135</v>
      </c>
      <c r="C638" s="328">
        <f t="shared" ref="C638:H638" si="358">C639</f>
        <v>0</v>
      </c>
      <c r="D638" s="328">
        <f t="shared" si="358"/>
        <v>0</v>
      </c>
      <c r="E638" s="328">
        <f t="shared" si="358"/>
        <v>1000</v>
      </c>
      <c r="F638" s="328">
        <f t="shared" si="358"/>
        <v>1000</v>
      </c>
      <c r="G638" s="328">
        <f t="shared" si="358"/>
        <v>0</v>
      </c>
      <c r="H638" s="328">
        <f t="shared" si="358"/>
        <v>0</v>
      </c>
    </row>
    <row r="639" spans="1:8" x14ac:dyDescent="0.25">
      <c r="A639" s="366" t="s">
        <v>514</v>
      </c>
      <c r="B639" s="286" t="s">
        <v>438</v>
      </c>
      <c r="C639" s="351">
        <v>0</v>
      </c>
      <c r="D639" s="351"/>
      <c r="E639" s="351">
        <v>1000</v>
      </c>
      <c r="F639" s="351">
        <v>1000</v>
      </c>
      <c r="G639" s="351">
        <v>0</v>
      </c>
      <c r="H639" s="351">
        <v>0</v>
      </c>
    </row>
    <row r="640" spans="1:8" x14ac:dyDescent="0.25">
      <c r="A640" s="364" t="s">
        <v>138</v>
      </c>
      <c r="B640" s="365" t="s">
        <v>139</v>
      </c>
      <c r="C640" s="328">
        <f t="shared" ref="C640:H640" si="359">C641</f>
        <v>0</v>
      </c>
      <c r="D640" s="328">
        <f t="shared" si="359"/>
        <v>0</v>
      </c>
      <c r="E640" s="328">
        <f t="shared" si="359"/>
        <v>500</v>
      </c>
      <c r="F640" s="328">
        <f t="shared" si="359"/>
        <v>500</v>
      </c>
      <c r="G640" s="328">
        <f t="shared" si="359"/>
        <v>0</v>
      </c>
      <c r="H640" s="328">
        <f t="shared" si="359"/>
        <v>0</v>
      </c>
    </row>
    <row r="641" spans="1:8" x14ac:dyDescent="0.25">
      <c r="A641" s="366" t="s">
        <v>515</v>
      </c>
      <c r="B641" s="286" t="s">
        <v>311</v>
      </c>
      <c r="C641" s="351">
        <v>0</v>
      </c>
      <c r="D641" s="351"/>
      <c r="E641" s="351">
        <v>500</v>
      </c>
      <c r="F641" s="351">
        <v>500</v>
      </c>
      <c r="G641" s="351">
        <v>0</v>
      </c>
      <c r="H641" s="351">
        <v>0</v>
      </c>
    </row>
    <row r="642" spans="1:8" x14ac:dyDescent="0.25">
      <c r="A642" s="364" t="s">
        <v>216</v>
      </c>
      <c r="B642" s="365" t="s">
        <v>141</v>
      </c>
      <c r="C642" s="328">
        <f t="shared" ref="C642:C643" si="360">C643</f>
        <v>0</v>
      </c>
      <c r="D642" s="328">
        <f t="shared" ref="D642:H643" si="361">D643</f>
        <v>0</v>
      </c>
      <c r="E642" s="328">
        <f t="shared" si="361"/>
        <v>1000</v>
      </c>
      <c r="F642" s="328">
        <f t="shared" si="361"/>
        <v>1000</v>
      </c>
      <c r="G642" s="328">
        <f t="shared" si="361"/>
        <v>0</v>
      </c>
      <c r="H642" s="328">
        <f t="shared" si="361"/>
        <v>0</v>
      </c>
    </row>
    <row r="643" spans="1:8" x14ac:dyDescent="0.25">
      <c r="A643" s="364" t="s">
        <v>218</v>
      </c>
      <c r="B643" s="365" t="s">
        <v>145</v>
      </c>
      <c r="C643" s="328">
        <f t="shared" si="360"/>
        <v>0</v>
      </c>
      <c r="D643" s="328">
        <f t="shared" si="361"/>
        <v>0</v>
      </c>
      <c r="E643" s="328">
        <f t="shared" si="361"/>
        <v>1000</v>
      </c>
      <c r="F643" s="328">
        <f t="shared" si="361"/>
        <v>1000</v>
      </c>
      <c r="G643" s="328">
        <f t="shared" si="361"/>
        <v>0</v>
      </c>
      <c r="H643" s="328">
        <f t="shared" si="361"/>
        <v>0</v>
      </c>
    </row>
    <row r="644" spans="1:8" x14ac:dyDescent="0.25">
      <c r="A644" s="366" t="s">
        <v>569</v>
      </c>
      <c r="B644" s="286" t="s">
        <v>145</v>
      </c>
      <c r="C644" s="351"/>
      <c r="D644" s="351"/>
      <c r="E644" s="351">
        <v>1000</v>
      </c>
      <c r="F644" s="351">
        <v>1000</v>
      </c>
      <c r="G644" s="351"/>
      <c r="H644" s="351"/>
    </row>
    <row r="645" spans="1:8" ht="31.5" x14ac:dyDescent="0.25">
      <c r="A645" s="401" t="s">
        <v>318</v>
      </c>
      <c r="B645" s="402" t="s">
        <v>678</v>
      </c>
      <c r="C645" s="332">
        <f t="shared" ref="C645:D646" si="362">C646</f>
        <v>0</v>
      </c>
      <c r="D645" s="332">
        <f t="shared" si="362"/>
        <v>0</v>
      </c>
      <c r="E645" s="332">
        <f>E646</f>
        <v>156200</v>
      </c>
      <c r="F645" s="332">
        <f>F646</f>
        <v>156200</v>
      </c>
      <c r="G645" s="332">
        <f t="shared" ref="G645:H646" si="363">G646</f>
        <v>159324</v>
      </c>
      <c r="H645" s="332">
        <f t="shared" si="363"/>
        <v>162510.47999999998</v>
      </c>
    </row>
    <row r="646" spans="1:8" x14ac:dyDescent="0.25">
      <c r="A646" s="386" t="s">
        <v>679</v>
      </c>
      <c r="B646" s="387" t="s">
        <v>680</v>
      </c>
      <c r="C646" s="335">
        <f t="shared" si="362"/>
        <v>0</v>
      </c>
      <c r="D646" s="335">
        <f t="shared" si="362"/>
        <v>0</v>
      </c>
      <c r="E646" s="335">
        <f>E647</f>
        <v>156200</v>
      </c>
      <c r="F646" s="335">
        <f>F647</f>
        <v>156200</v>
      </c>
      <c r="G646" s="335">
        <f t="shared" si="363"/>
        <v>159324</v>
      </c>
      <c r="H646" s="335">
        <f t="shared" si="363"/>
        <v>162510.47999999998</v>
      </c>
    </row>
    <row r="647" spans="1:8" x14ac:dyDescent="0.25">
      <c r="A647" s="400" t="s">
        <v>83</v>
      </c>
      <c r="B647" s="403" t="s">
        <v>84</v>
      </c>
      <c r="C647" s="339">
        <f>C648+C661</f>
        <v>0</v>
      </c>
      <c r="D647" s="339">
        <f t="shared" ref="D647:H647" si="364">D648+D661</f>
        <v>0</v>
      </c>
      <c r="E647" s="339">
        <f t="shared" ref="E647" si="365">E648+E661</f>
        <v>156200</v>
      </c>
      <c r="F647" s="339">
        <f t="shared" si="364"/>
        <v>156200</v>
      </c>
      <c r="G647" s="339">
        <f t="shared" si="364"/>
        <v>159324</v>
      </c>
      <c r="H647" s="339">
        <f t="shared" si="364"/>
        <v>162510.47999999998</v>
      </c>
    </row>
    <row r="648" spans="1:8" x14ac:dyDescent="0.25">
      <c r="A648" s="362">
        <v>31</v>
      </c>
      <c r="B648" s="363" t="s">
        <v>85</v>
      </c>
      <c r="C648" s="355">
        <f t="shared" ref="C648:H648" si="366">C649+C652+C658</f>
        <v>0</v>
      </c>
      <c r="D648" s="355">
        <f t="shared" si="366"/>
        <v>0</v>
      </c>
      <c r="E648" s="355">
        <f t="shared" si="366"/>
        <v>142132.5</v>
      </c>
      <c r="F648" s="355">
        <f t="shared" si="366"/>
        <v>142132.5</v>
      </c>
      <c r="G648" s="355">
        <f t="shared" si="366"/>
        <v>144975.15</v>
      </c>
      <c r="H648" s="355">
        <f t="shared" si="366"/>
        <v>147874.65</v>
      </c>
    </row>
    <row r="649" spans="1:8" x14ac:dyDescent="0.25">
      <c r="A649" s="364">
        <v>311</v>
      </c>
      <c r="B649" s="365" t="s">
        <v>86</v>
      </c>
      <c r="C649" s="328">
        <f t="shared" ref="C649:D649" si="367">C650</f>
        <v>0</v>
      </c>
      <c r="D649" s="328">
        <f t="shared" si="367"/>
        <v>0</v>
      </c>
      <c r="E649" s="328">
        <f>E650</f>
        <v>142132.5</v>
      </c>
      <c r="F649" s="328">
        <f>F650</f>
        <v>142132.5</v>
      </c>
      <c r="G649" s="328">
        <f t="shared" ref="G649" si="368">G650</f>
        <v>144975.15</v>
      </c>
      <c r="H649" s="328">
        <f t="shared" ref="H649" si="369">H650</f>
        <v>147874.65</v>
      </c>
    </row>
    <row r="650" spans="1:8" x14ac:dyDescent="0.25">
      <c r="A650" s="364" t="s">
        <v>520</v>
      </c>
      <c r="B650" s="365" t="s">
        <v>87</v>
      </c>
      <c r="C650" s="328">
        <f>SUM(C651)</f>
        <v>0</v>
      </c>
      <c r="D650" s="328">
        <f t="shared" ref="D650" si="370">SUM(D651)</f>
        <v>0</v>
      </c>
      <c r="E650" s="328">
        <f>SUM(E651)</f>
        <v>142132.5</v>
      </c>
      <c r="F650" s="328">
        <f>SUM(F651)</f>
        <v>142132.5</v>
      </c>
      <c r="G650" s="328">
        <f t="shared" ref="G650" si="371">SUM(G651)</f>
        <v>144975.15</v>
      </c>
      <c r="H650" s="328">
        <f t="shared" ref="H650" si="372">SUM(H651)</f>
        <v>147874.65</v>
      </c>
    </row>
    <row r="651" spans="1:8" x14ac:dyDescent="0.25">
      <c r="A651" s="366" t="s">
        <v>480</v>
      </c>
      <c r="B651" s="286" t="s">
        <v>87</v>
      </c>
      <c r="C651" s="351">
        <v>0</v>
      </c>
      <c r="D651" s="351"/>
      <c r="E651" s="351">
        <v>142132.5</v>
      </c>
      <c r="F651" s="351">
        <v>142132.5</v>
      </c>
      <c r="G651" s="351">
        <v>144975.15</v>
      </c>
      <c r="H651" s="351">
        <v>147874.65</v>
      </c>
    </row>
    <row r="652" spans="1:8" hidden="1" x14ac:dyDescent="0.25">
      <c r="A652" s="364" t="s">
        <v>94</v>
      </c>
      <c r="B652" s="365" t="s">
        <v>95</v>
      </c>
      <c r="C652" s="328">
        <f t="shared" ref="C652:D652" si="373">C653</f>
        <v>0</v>
      </c>
      <c r="D652" s="328">
        <f t="shared" si="373"/>
        <v>0</v>
      </c>
      <c r="E652" s="328"/>
      <c r="F652" s="328">
        <f>F653</f>
        <v>0</v>
      </c>
      <c r="G652" s="328">
        <f t="shared" ref="G652:H652" si="374">G653</f>
        <v>0</v>
      </c>
      <c r="H652" s="328">
        <f t="shared" si="374"/>
        <v>0</v>
      </c>
    </row>
    <row r="653" spans="1:8" hidden="1" x14ac:dyDescent="0.25">
      <c r="A653" s="364" t="s">
        <v>96</v>
      </c>
      <c r="B653" s="365" t="s">
        <v>95</v>
      </c>
      <c r="C653" s="328">
        <f>SUM(C654:C657)</f>
        <v>0</v>
      </c>
      <c r="D653" s="328">
        <f t="shared" ref="D653" si="375">SUM(D654:D657)</f>
        <v>0</v>
      </c>
      <c r="E653" s="328"/>
      <c r="F653" s="328">
        <f t="shared" ref="F653" si="376">SUM(F654:F657)</f>
        <v>0</v>
      </c>
      <c r="G653" s="328">
        <f t="shared" ref="G653" si="377">SUM(G654:G657)</f>
        <v>0</v>
      </c>
      <c r="H653" s="328">
        <f t="shared" ref="H653" si="378">SUM(H654:H657)</f>
        <v>0</v>
      </c>
    </row>
    <row r="654" spans="1:8" hidden="1" x14ac:dyDescent="0.25">
      <c r="A654" s="366" t="s">
        <v>485</v>
      </c>
      <c r="B654" s="286" t="s">
        <v>400</v>
      </c>
      <c r="C654" s="351"/>
      <c r="D654" s="351"/>
      <c r="E654" s="351"/>
      <c r="F654" s="351"/>
      <c r="G654" s="351"/>
      <c r="H654" s="351"/>
    </row>
    <row r="655" spans="1:8" hidden="1" x14ac:dyDescent="0.25">
      <c r="A655" s="366" t="s">
        <v>488</v>
      </c>
      <c r="B655" s="286" t="s">
        <v>402</v>
      </c>
      <c r="C655" s="351">
        <v>0</v>
      </c>
      <c r="D655" s="351">
        <v>0</v>
      </c>
      <c r="E655" s="351"/>
      <c r="F655" s="351"/>
      <c r="G655" s="351"/>
      <c r="H655" s="351"/>
    </row>
    <row r="656" spans="1:8" hidden="1" x14ac:dyDescent="0.25">
      <c r="A656" s="366" t="s">
        <v>624</v>
      </c>
      <c r="B656" s="286" t="s">
        <v>625</v>
      </c>
      <c r="C656" s="351">
        <v>0</v>
      </c>
      <c r="D656" s="351">
        <v>0</v>
      </c>
      <c r="E656" s="351"/>
      <c r="F656" s="351"/>
      <c r="G656" s="351"/>
      <c r="H656" s="351"/>
    </row>
    <row r="657" spans="1:8" hidden="1" x14ac:dyDescent="0.25">
      <c r="A657" s="366" t="s">
        <v>489</v>
      </c>
      <c r="B657" s="286" t="s">
        <v>397</v>
      </c>
      <c r="C657" s="351">
        <v>0</v>
      </c>
      <c r="D657" s="351">
        <v>0</v>
      </c>
      <c r="E657" s="351"/>
      <c r="F657" s="351">
        <v>0</v>
      </c>
      <c r="G657" s="351">
        <v>0</v>
      </c>
      <c r="H657" s="351">
        <v>0</v>
      </c>
    </row>
    <row r="658" spans="1:8" hidden="1" x14ac:dyDescent="0.25">
      <c r="A658" s="364" t="s">
        <v>209</v>
      </c>
      <c r="B658" s="365" t="s">
        <v>97</v>
      </c>
      <c r="C658" s="328">
        <f t="shared" ref="C658:D658" si="379">C659</f>
        <v>0</v>
      </c>
      <c r="D658" s="328">
        <f t="shared" si="379"/>
        <v>0</v>
      </c>
      <c r="E658" s="328"/>
      <c r="F658" s="328">
        <f>F659</f>
        <v>0</v>
      </c>
      <c r="G658" s="328">
        <f t="shared" ref="G658:H658" si="380">G659</f>
        <v>0</v>
      </c>
      <c r="H658" s="328">
        <f t="shared" si="380"/>
        <v>0</v>
      </c>
    </row>
    <row r="659" spans="1:8" hidden="1" x14ac:dyDescent="0.25">
      <c r="A659" s="364" t="s">
        <v>210</v>
      </c>
      <c r="B659" s="365" t="s">
        <v>98</v>
      </c>
      <c r="C659" s="328">
        <f t="shared" ref="C659:D659" si="381">SUM(C660)</f>
        <v>0</v>
      </c>
      <c r="D659" s="328">
        <f t="shared" si="381"/>
        <v>0</v>
      </c>
      <c r="E659" s="328"/>
      <c r="F659" s="328">
        <f>SUM(F660)</f>
        <v>0</v>
      </c>
      <c r="G659" s="328">
        <f t="shared" ref="G659:H659" si="382">SUM(G660)</f>
        <v>0</v>
      </c>
      <c r="H659" s="328">
        <f t="shared" si="382"/>
        <v>0</v>
      </c>
    </row>
    <row r="660" spans="1:8" hidden="1" x14ac:dyDescent="0.25">
      <c r="A660" s="366" t="s">
        <v>490</v>
      </c>
      <c r="B660" s="286" t="s">
        <v>98</v>
      </c>
      <c r="C660" s="351"/>
      <c r="D660" s="351">
        <v>0</v>
      </c>
      <c r="E660" s="351"/>
      <c r="F660" s="351">
        <v>0</v>
      </c>
      <c r="G660" s="351">
        <v>0</v>
      </c>
      <c r="H660" s="351">
        <v>0</v>
      </c>
    </row>
    <row r="661" spans="1:8" x14ac:dyDescent="0.25">
      <c r="A661" s="392" t="s">
        <v>358</v>
      </c>
      <c r="B661" s="393" t="s">
        <v>99</v>
      </c>
      <c r="C661" s="355">
        <f>C662+C672+C674+C681</f>
        <v>0</v>
      </c>
      <c r="D661" s="355">
        <f t="shared" ref="D661:H661" si="383">D662+D672+D674+D681</f>
        <v>0</v>
      </c>
      <c r="E661" s="355">
        <f t="shared" ref="E661" si="384">E662+E672+E674+E681</f>
        <v>14067.5</v>
      </c>
      <c r="F661" s="355">
        <f t="shared" si="383"/>
        <v>14067.5</v>
      </c>
      <c r="G661" s="355">
        <f t="shared" si="383"/>
        <v>14348.85</v>
      </c>
      <c r="H661" s="355">
        <f t="shared" si="383"/>
        <v>14635.83</v>
      </c>
    </row>
    <row r="662" spans="1:8" x14ac:dyDescent="0.25">
      <c r="A662" s="364" t="s">
        <v>212</v>
      </c>
      <c r="B662" s="365" t="s">
        <v>100</v>
      </c>
      <c r="C662" s="328">
        <f t="shared" ref="C662:H662" si="385">C663+C667+C669</f>
        <v>0</v>
      </c>
      <c r="D662" s="328">
        <f t="shared" si="385"/>
        <v>0</v>
      </c>
      <c r="E662" s="328">
        <f t="shared" si="385"/>
        <v>4406.16</v>
      </c>
      <c r="F662" s="328">
        <f t="shared" si="385"/>
        <v>4406.16</v>
      </c>
      <c r="G662" s="328">
        <f t="shared" si="385"/>
        <v>4481.8500000000004</v>
      </c>
      <c r="H662" s="328">
        <f t="shared" si="385"/>
        <v>4557.6499999999996</v>
      </c>
    </row>
    <row r="663" spans="1:8" x14ac:dyDescent="0.25">
      <c r="A663" s="364" t="s">
        <v>101</v>
      </c>
      <c r="B663" s="365" t="s">
        <v>102</v>
      </c>
      <c r="C663" s="328">
        <f>SUM(C664:C666)</f>
        <v>0</v>
      </c>
      <c r="D663" s="328">
        <f t="shared" ref="D663:H663" si="386">SUM(D664:D666)</f>
        <v>0</v>
      </c>
      <c r="E663" s="328">
        <f t="shared" ref="E663" si="387">SUM(E664:E666)</f>
        <v>2606.16</v>
      </c>
      <c r="F663" s="328">
        <f t="shared" si="386"/>
        <v>2606.16</v>
      </c>
      <c r="G663" s="328">
        <f t="shared" si="386"/>
        <v>2656.16</v>
      </c>
      <c r="H663" s="328">
        <f t="shared" si="386"/>
        <v>2706.96</v>
      </c>
    </row>
    <row r="664" spans="1:8" x14ac:dyDescent="0.25">
      <c r="A664" s="366" t="s">
        <v>521</v>
      </c>
      <c r="B664" s="286" t="s">
        <v>403</v>
      </c>
      <c r="C664" s="351">
        <v>0</v>
      </c>
      <c r="D664" s="351">
        <v>0</v>
      </c>
      <c r="E664" s="351">
        <v>2606.16</v>
      </c>
      <c r="F664" s="351">
        <v>2606.16</v>
      </c>
      <c r="G664" s="351">
        <v>2656.16</v>
      </c>
      <c r="H664" s="351">
        <v>2706.96</v>
      </c>
    </row>
    <row r="665" spans="1:8" hidden="1" x14ac:dyDescent="0.25">
      <c r="A665" s="366" t="s">
        <v>528</v>
      </c>
      <c r="B665" s="286" t="s">
        <v>405</v>
      </c>
      <c r="C665" s="351"/>
      <c r="D665" s="351"/>
      <c r="E665" s="351"/>
      <c r="F665" s="351">
        <v>0</v>
      </c>
      <c r="G665" s="351">
        <v>0</v>
      </c>
      <c r="H665" s="351">
        <v>0</v>
      </c>
    </row>
    <row r="666" spans="1:8" hidden="1" x14ac:dyDescent="0.25">
      <c r="A666" s="366" t="s">
        <v>510</v>
      </c>
      <c r="B666" s="286" t="s">
        <v>406</v>
      </c>
      <c r="C666" s="351"/>
      <c r="D666" s="351"/>
      <c r="E666" s="351"/>
      <c r="F666" s="351">
        <v>0</v>
      </c>
      <c r="G666" s="351">
        <v>0</v>
      </c>
      <c r="H666" s="351">
        <v>0</v>
      </c>
    </row>
    <row r="667" spans="1:8" hidden="1" x14ac:dyDescent="0.25">
      <c r="A667" s="364" t="s">
        <v>103</v>
      </c>
      <c r="B667" s="365" t="s">
        <v>104</v>
      </c>
      <c r="C667" s="328">
        <f t="shared" ref="C667:D667" si="388">SUM(C668)</f>
        <v>0</v>
      </c>
      <c r="D667" s="328">
        <f t="shared" si="388"/>
        <v>0</v>
      </c>
      <c r="E667" s="328"/>
      <c r="F667" s="328">
        <f>SUM(F668)</f>
        <v>0</v>
      </c>
      <c r="G667" s="328">
        <f t="shared" ref="G667:H667" si="389">SUM(G668)</f>
        <v>0</v>
      </c>
      <c r="H667" s="328">
        <f t="shared" si="389"/>
        <v>0</v>
      </c>
    </row>
    <row r="668" spans="1:8" hidden="1" x14ac:dyDescent="0.25">
      <c r="A668" s="366" t="s">
        <v>491</v>
      </c>
      <c r="B668" s="286" t="s">
        <v>104</v>
      </c>
      <c r="C668" s="351">
        <v>0</v>
      </c>
      <c r="D668" s="351">
        <v>0</v>
      </c>
      <c r="E668" s="351"/>
      <c r="F668" s="351">
        <v>0</v>
      </c>
      <c r="G668" s="351">
        <v>0</v>
      </c>
      <c r="H668" s="351">
        <v>0</v>
      </c>
    </row>
    <row r="669" spans="1:8" x14ac:dyDescent="0.25">
      <c r="A669" s="364" t="s">
        <v>105</v>
      </c>
      <c r="B669" s="365" t="s">
        <v>106</v>
      </c>
      <c r="C669" s="328">
        <f>SUM(C670:C671)</f>
        <v>0</v>
      </c>
      <c r="D669" s="328">
        <f t="shared" ref="D669:H669" si="390">SUM(D670:D671)</f>
        <v>0</v>
      </c>
      <c r="E669" s="328">
        <f t="shared" si="390"/>
        <v>1800</v>
      </c>
      <c r="F669" s="328">
        <f t="shared" si="390"/>
        <v>1800</v>
      </c>
      <c r="G669" s="328">
        <f t="shared" si="390"/>
        <v>1825.69</v>
      </c>
      <c r="H669" s="328">
        <f t="shared" si="390"/>
        <v>1850.69</v>
      </c>
    </row>
    <row r="670" spans="1:8" x14ac:dyDescent="0.25">
      <c r="A670" s="366" t="s">
        <v>530</v>
      </c>
      <c r="B670" s="286" t="s">
        <v>407</v>
      </c>
      <c r="C670" s="351"/>
      <c r="D670" s="351"/>
      <c r="E670" s="351">
        <v>1800</v>
      </c>
      <c r="F670" s="351">
        <v>1800</v>
      </c>
      <c r="G670" s="351">
        <v>1825.69</v>
      </c>
      <c r="H670" s="351">
        <v>1850.69</v>
      </c>
    </row>
    <row r="671" spans="1:8" hidden="1" x14ac:dyDescent="0.25">
      <c r="A671" s="366" t="s">
        <v>511</v>
      </c>
      <c r="B671" s="286" t="s">
        <v>408</v>
      </c>
      <c r="C671" s="351">
        <v>0</v>
      </c>
      <c r="D671" s="351">
        <v>0</v>
      </c>
      <c r="E671" s="351"/>
      <c r="F671" s="351">
        <v>0</v>
      </c>
      <c r="G671" s="351">
        <v>0</v>
      </c>
      <c r="H671" s="351">
        <v>0</v>
      </c>
    </row>
    <row r="672" spans="1:8" hidden="1" x14ac:dyDescent="0.25">
      <c r="A672" s="364" t="s">
        <v>109</v>
      </c>
      <c r="B672" s="365" t="s">
        <v>110</v>
      </c>
      <c r="C672" s="328">
        <f t="shared" ref="C672:D672" si="391">C673</f>
        <v>0</v>
      </c>
      <c r="D672" s="328">
        <f t="shared" si="391"/>
        <v>0</v>
      </c>
      <c r="E672" s="328"/>
      <c r="F672" s="328">
        <f>F673</f>
        <v>0</v>
      </c>
      <c r="G672" s="328">
        <f t="shared" ref="G672:H672" si="392">G673</f>
        <v>0</v>
      </c>
      <c r="H672" s="328">
        <f t="shared" si="392"/>
        <v>0</v>
      </c>
    </row>
    <row r="673" spans="1:8" hidden="1" x14ac:dyDescent="0.25">
      <c r="A673" s="364" t="s">
        <v>115</v>
      </c>
      <c r="B673" s="365" t="s">
        <v>116</v>
      </c>
      <c r="C673" s="328"/>
      <c r="D673" s="328"/>
      <c r="E673" s="328"/>
      <c r="F673" s="328"/>
      <c r="G673" s="328"/>
      <c r="H673" s="328"/>
    </row>
    <row r="674" spans="1:8" x14ac:dyDescent="0.25">
      <c r="A674" s="364" t="s">
        <v>123</v>
      </c>
      <c r="B674" s="365" t="s">
        <v>124</v>
      </c>
      <c r="C674" s="328">
        <f>C675+C677+C679</f>
        <v>0</v>
      </c>
      <c r="D674" s="328">
        <f t="shared" ref="D674:H674" si="393">D675+D677+D679</f>
        <v>0</v>
      </c>
      <c r="E674" s="328">
        <f t="shared" ref="E674" si="394">E675+E677+E679</f>
        <v>7055.18</v>
      </c>
      <c r="F674" s="328">
        <f t="shared" si="393"/>
        <v>7055.18</v>
      </c>
      <c r="G674" s="328">
        <f t="shared" si="393"/>
        <v>7167</v>
      </c>
      <c r="H674" s="328">
        <f t="shared" si="393"/>
        <v>7278.18</v>
      </c>
    </row>
    <row r="675" spans="1:8" x14ac:dyDescent="0.25">
      <c r="A675" s="364" t="s">
        <v>129</v>
      </c>
      <c r="B675" s="365" t="s">
        <v>130</v>
      </c>
      <c r="C675" s="328">
        <f>C676</f>
        <v>0</v>
      </c>
      <c r="D675" s="328">
        <f t="shared" ref="D675:H675" si="395">D676</f>
        <v>0</v>
      </c>
      <c r="E675" s="328">
        <f t="shared" si="395"/>
        <v>2000</v>
      </c>
      <c r="F675" s="328">
        <f t="shared" si="395"/>
        <v>2000</v>
      </c>
      <c r="G675" s="328">
        <f t="shared" si="395"/>
        <v>2067</v>
      </c>
      <c r="H675" s="328">
        <f t="shared" si="395"/>
        <v>2134</v>
      </c>
    </row>
    <row r="676" spans="1:8" x14ac:dyDescent="0.25">
      <c r="A676" s="366" t="s">
        <v>629</v>
      </c>
      <c r="B676" s="286" t="s">
        <v>630</v>
      </c>
      <c r="C676" s="351">
        <v>0</v>
      </c>
      <c r="D676" s="351">
        <v>0</v>
      </c>
      <c r="E676" s="351">
        <v>2000</v>
      </c>
      <c r="F676" s="351">
        <v>2000</v>
      </c>
      <c r="G676" s="351">
        <v>2067</v>
      </c>
      <c r="H676" s="351">
        <v>2134</v>
      </c>
    </row>
    <row r="677" spans="1:8" hidden="1" x14ac:dyDescent="0.25">
      <c r="A677" s="364" t="s">
        <v>215</v>
      </c>
      <c r="B677" s="365" t="s">
        <v>135</v>
      </c>
      <c r="C677" s="328">
        <f t="shared" ref="C677:D677" si="396">C678</f>
        <v>0</v>
      </c>
      <c r="D677" s="328">
        <f t="shared" si="396"/>
        <v>0</v>
      </c>
      <c r="E677" s="328"/>
      <c r="F677" s="328">
        <f>F678</f>
        <v>0</v>
      </c>
      <c r="G677" s="328">
        <f t="shared" ref="G677:H677" si="397">G678</f>
        <v>0</v>
      </c>
      <c r="H677" s="328">
        <f t="shared" si="397"/>
        <v>0</v>
      </c>
    </row>
    <row r="678" spans="1:8" hidden="1" x14ac:dyDescent="0.25">
      <c r="A678" s="366" t="s">
        <v>514</v>
      </c>
      <c r="B678" s="286" t="s">
        <v>438</v>
      </c>
      <c r="C678" s="351">
        <v>0</v>
      </c>
      <c r="D678" s="351">
        <v>0</v>
      </c>
      <c r="E678" s="351"/>
      <c r="F678" s="351">
        <v>0</v>
      </c>
      <c r="G678" s="351">
        <v>0</v>
      </c>
      <c r="H678" s="351">
        <v>0</v>
      </c>
    </row>
    <row r="679" spans="1:8" x14ac:dyDescent="0.25">
      <c r="A679" s="364" t="s">
        <v>138</v>
      </c>
      <c r="B679" s="365" t="s">
        <v>139</v>
      </c>
      <c r="C679" s="328">
        <f t="shared" ref="C679:D679" si="398">C680</f>
        <v>0</v>
      </c>
      <c r="D679" s="328">
        <f t="shared" si="398"/>
        <v>0</v>
      </c>
      <c r="E679" s="328">
        <f>E680</f>
        <v>5055.18</v>
      </c>
      <c r="F679" s="328">
        <f>F680</f>
        <v>5055.18</v>
      </c>
      <c r="G679" s="328">
        <f t="shared" ref="G679:H679" si="399">G680</f>
        <v>5100</v>
      </c>
      <c r="H679" s="328">
        <f t="shared" si="399"/>
        <v>5144.18</v>
      </c>
    </row>
    <row r="680" spans="1:8" s="329" customFormat="1" x14ac:dyDescent="0.25">
      <c r="A680" s="366" t="s">
        <v>515</v>
      </c>
      <c r="B680" s="286" t="s">
        <v>311</v>
      </c>
      <c r="C680" s="351">
        <v>0</v>
      </c>
      <c r="D680" s="351">
        <v>0</v>
      </c>
      <c r="E680" s="351">
        <v>5055.18</v>
      </c>
      <c r="F680" s="351">
        <v>5055.18</v>
      </c>
      <c r="G680" s="351">
        <v>5100</v>
      </c>
      <c r="H680" s="351">
        <v>5144.18</v>
      </c>
    </row>
    <row r="681" spans="1:8" x14ac:dyDescent="0.25">
      <c r="A681" s="364" t="s">
        <v>579</v>
      </c>
      <c r="B681" s="365" t="s">
        <v>633</v>
      </c>
      <c r="C681" s="328">
        <f>C682</f>
        <v>0</v>
      </c>
      <c r="D681" s="328">
        <f t="shared" ref="D681:H682" si="400">D682</f>
        <v>0</v>
      </c>
      <c r="E681" s="328">
        <f t="shared" si="400"/>
        <v>2606.16</v>
      </c>
      <c r="F681" s="328">
        <f t="shared" si="400"/>
        <v>2606.16</v>
      </c>
      <c r="G681" s="328">
        <f t="shared" si="400"/>
        <v>2700</v>
      </c>
      <c r="H681" s="328">
        <f t="shared" si="400"/>
        <v>2800</v>
      </c>
    </row>
    <row r="682" spans="1:8" x14ac:dyDescent="0.25">
      <c r="A682" s="364" t="s">
        <v>580</v>
      </c>
      <c r="B682" s="365" t="s">
        <v>633</v>
      </c>
      <c r="C682" s="328">
        <f>C683</f>
        <v>0</v>
      </c>
      <c r="D682" s="328">
        <f t="shared" si="400"/>
        <v>0</v>
      </c>
      <c r="E682" s="328">
        <f t="shared" si="400"/>
        <v>2606.16</v>
      </c>
      <c r="F682" s="328">
        <f t="shared" si="400"/>
        <v>2606.16</v>
      </c>
      <c r="G682" s="328">
        <f t="shared" si="400"/>
        <v>2700</v>
      </c>
      <c r="H682" s="328">
        <f t="shared" si="400"/>
        <v>2800</v>
      </c>
    </row>
    <row r="683" spans="1:8" s="329" customFormat="1" x14ac:dyDescent="0.25">
      <c r="A683" s="366" t="s">
        <v>582</v>
      </c>
      <c r="B683" s="286" t="s">
        <v>644</v>
      </c>
      <c r="C683" s="351"/>
      <c r="D683" s="351"/>
      <c r="E683" s="351">
        <v>2606.16</v>
      </c>
      <c r="F683" s="351">
        <v>2606.16</v>
      </c>
      <c r="G683" s="351">
        <v>2700</v>
      </c>
      <c r="H683" s="351">
        <v>2800</v>
      </c>
    </row>
    <row r="684" spans="1:8" ht="47.25" hidden="1" x14ac:dyDescent="0.25">
      <c r="A684" s="401" t="s">
        <v>318</v>
      </c>
      <c r="B684" s="402" t="s">
        <v>551</v>
      </c>
      <c r="C684" s="332">
        <f t="shared" ref="C684:D684" si="401">C685</f>
        <v>0</v>
      </c>
      <c r="D684" s="332">
        <f t="shared" si="401"/>
        <v>0</v>
      </c>
      <c r="E684" s="332"/>
      <c r="F684" s="332">
        <f>F685</f>
        <v>0</v>
      </c>
      <c r="G684" s="332">
        <f t="shared" ref="G684:H684" si="402">G685</f>
        <v>0</v>
      </c>
      <c r="H684" s="332">
        <f t="shared" si="402"/>
        <v>0</v>
      </c>
    </row>
    <row r="685" spans="1:8" s="329" customFormat="1" hidden="1" x14ac:dyDescent="0.25">
      <c r="A685" s="386" t="s">
        <v>72</v>
      </c>
      <c r="B685" s="387" t="s">
        <v>73</v>
      </c>
      <c r="C685" s="335">
        <f t="shared" ref="C685:D685" si="403">C686+C711</f>
        <v>0</v>
      </c>
      <c r="D685" s="335">
        <f t="shared" si="403"/>
        <v>0</v>
      </c>
      <c r="E685" s="335"/>
      <c r="F685" s="335">
        <f>F686+F711</f>
        <v>0</v>
      </c>
      <c r="G685" s="335">
        <f t="shared" ref="G685:H685" si="404">G686+G711</f>
        <v>0</v>
      </c>
      <c r="H685" s="335">
        <f t="shared" si="404"/>
        <v>0</v>
      </c>
    </row>
    <row r="686" spans="1:8" s="329" customFormat="1" hidden="1" x14ac:dyDescent="0.25">
      <c r="A686" s="400" t="s">
        <v>83</v>
      </c>
      <c r="B686" s="403" t="s">
        <v>84</v>
      </c>
      <c r="C686" s="339">
        <f t="shared" ref="C686:D686" si="405">C687+C693</f>
        <v>0</v>
      </c>
      <c r="D686" s="339">
        <f t="shared" si="405"/>
        <v>0</v>
      </c>
      <c r="E686" s="339"/>
      <c r="F686" s="339">
        <f>F687+F693</f>
        <v>0</v>
      </c>
      <c r="G686" s="339">
        <f t="shared" ref="G686:H686" si="406">G687</f>
        <v>0</v>
      </c>
      <c r="H686" s="339">
        <f t="shared" si="406"/>
        <v>0</v>
      </c>
    </row>
    <row r="687" spans="1:8" hidden="1" x14ac:dyDescent="0.25">
      <c r="A687" s="362">
        <v>31</v>
      </c>
      <c r="B687" s="363" t="s">
        <v>85</v>
      </c>
      <c r="C687" s="355">
        <f t="shared" ref="C687:D687" si="407">C688+C691</f>
        <v>0</v>
      </c>
      <c r="D687" s="355">
        <f t="shared" si="407"/>
        <v>0</v>
      </c>
      <c r="E687" s="355"/>
      <c r="F687" s="355">
        <f>F688+F691</f>
        <v>0</v>
      </c>
      <c r="G687" s="355">
        <f t="shared" ref="G687:H687" si="408">G688+G691</f>
        <v>0</v>
      </c>
      <c r="H687" s="355">
        <f t="shared" si="408"/>
        <v>0</v>
      </c>
    </row>
    <row r="688" spans="1:8" s="329" customFormat="1" hidden="1" x14ac:dyDescent="0.25">
      <c r="A688" s="364">
        <v>311</v>
      </c>
      <c r="B688" s="365" t="s">
        <v>86</v>
      </c>
      <c r="C688" s="328">
        <f t="shared" ref="C688:D688" si="409">C689+C690</f>
        <v>0</v>
      </c>
      <c r="D688" s="328">
        <f t="shared" si="409"/>
        <v>0</v>
      </c>
      <c r="E688" s="328"/>
      <c r="F688" s="328">
        <f>F689+F690</f>
        <v>0</v>
      </c>
      <c r="G688" s="328">
        <f t="shared" ref="G688:H688" si="410">G689+G690</f>
        <v>0</v>
      </c>
      <c r="H688" s="328">
        <f t="shared" si="410"/>
        <v>0</v>
      </c>
    </row>
    <row r="689" spans="1:8" hidden="1" x14ac:dyDescent="0.25">
      <c r="A689" s="366">
        <v>3111</v>
      </c>
      <c r="B689" s="286" t="s">
        <v>87</v>
      </c>
      <c r="C689" s="351"/>
      <c r="D689" s="351"/>
      <c r="E689" s="351"/>
      <c r="F689" s="351"/>
      <c r="G689" s="351"/>
      <c r="H689" s="351"/>
    </row>
    <row r="690" spans="1:8" hidden="1" x14ac:dyDescent="0.25">
      <c r="A690" s="366" t="s">
        <v>90</v>
      </c>
      <c r="B690" s="286" t="s">
        <v>91</v>
      </c>
      <c r="C690" s="351"/>
      <c r="D690" s="351"/>
      <c r="E690" s="351"/>
      <c r="F690" s="351"/>
      <c r="G690" s="351"/>
      <c r="H690" s="351"/>
    </row>
    <row r="691" spans="1:8" hidden="1" x14ac:dyDescent="0.25">
      <c r="A691" s="369">
        <v>313</v>
      </c>
      <c r="B691" s="365" t="s">
        <v>97</v>
      </c>
      <c r="C691" s="328">
        <f t="shared" ref="C691:D691" si="411">C692</f>
        <v>0</v>
      </c>
      <c r="D691" s="328">
        <f t="shared" si="411"/>
        <v>0</v>
      </c>
      <c r="E691" s="328"/>
      <c r="F691" s="328">
        <f>F692</f>
        <v>0</v>
      </c>
      <c r="G691" s="328">
        <f t="shared" ref="G691:H691" si="412">G692</f>
        <v>0</v>
      </c>
      <c r="H691" s="328">
        <f t="shared" si="412"/>
        <v>0</v>
      </c>
    </row>
    <row r="692" spans="1:8" hidden="1" x14ac:dyDescent="0.25">
      <c r="A692" s="370">
        <v>3132</v>
      </c>
      <c r="B692" s="286" t="s">
        <v>98</v>
      </c>
      <c r="C692" s="351"/>
      <c r="D692" s="351"/>
      <c r="E692" s="351"/>
      <c r="F692" s="351"/>
      <c r="G692" s="351"/>
      <c r="H692" s="351"/>
    </row>
    <row r="693" spans="1:8" hidden="1" x14ac:dyDescent="0.25">
      <c r="A693" s="362">
        <v>32</v>
      </c>
      <c r="B693" s="363" t="s">
        <v>99</v>
      </c>
      <c r="C693" s="355">
        <f t="shared" ref="C693:D693" si="413">C694+C696+C702</f>
        <v>0</v>
      </c>
      <c r="D693" s="355">
        <f t="shared" si="413"/>
        <v>0</v>
      </c>
      <c r="E693" s="355"/>
      <c r="F693" s="355">
        <f>F694+F696+F702</f>
        <v>0</v>
      </c>
      <c r="G693" s="355">
        <f t="shared" ref="G693:H693" si="414">G694+G696+G702</f>
        <v>0</v>
      </c>
      <c r="H693" s="355">
        <f t="shared" si="414"/>
        <v>0</v>
      </c>
    </row>
    <row r="694" spans="1:8" s="329" customFormat="1" hidden="1" x14ac:dyDescent="0.25">
      <c r="A694" s="364">
        <v>321</v>
      </c>
      <c r="B694" s="365" t="s">
        <v>100</v>
      </c>
      <c r="C694" s="328">
        <f t="shared" ref="C694:D694" si="415">C695</f>
        <v>0</v>
      </c>
      <c r="D694" s="328">
        <f t="shared" si="415"/>
        <v>0</v>
      </c>
      <c r="E694" s="328"/>
      <c r="F694" s="328">
        <f>F695</f>
        <v>0</v>
      </c>
      <c r="G694" s="328">
        <f t="shared" ref="G694:H694" si="416">G695</f>
        <v>0</v>
      </c>
      <c r="H694" s="328">
        <f t="shared" si="416"/>
        <v>0</v>
      </c>
    </row>
    <row r="695" spans="1:8" hidden="1" x14ac:dyDescent="0.25">
      <c r="A695" s="364" t="s">
        <v>103</v>
      </c>
      <c r="B695" s="365" t="s">
        <v>104</v>
      </c>
      <c r="C695" s="328"/>
      <c r="D695" s="328"/>
      <c r="E695" s="328"/>
      <c r="F695" s="328"/>
      <c r="G695" s="328"/>
      <c r="H695" s="328"/>
    </row>
    <row r="696" spans="1:8" hidden="1" x14ac:dyDescent="0.25">
      <c r="A696" s="364" t="s">
        <v>109</v>
      </c>
      <c r="B696" s="365" t="s">
        <v>110</v>
      </c>
      <c r="C696" s="328">
        <f t="shared" ref="C696:D696" si="417">C697+C698+C699+C701</f>
        <v>0</v>
      </c>
      <c r="D696" s="328">
        <f t="shared" si="417"/>
        <v>0</v>
      </c>
      <c r="E696" s="328"/>
      <c r="F696" s="328">
        <f>F697+F698+F699+F701</f>
        <v>0</v>
      </c>
      <c r="G696" s="328">
        <f t="shared" ref="G696:H696" si="418">SUM(G697:G701)</f>
        <v>0</v>
      </c>
      <c r="H696" s="328">
        <f t="shared" si="418"/>
        <v>0</v>
      </c>
    </row>
    <row r="697" spans="1:8" hidden="1" x14ac:dyDescent="0.25">
      <c r="A697" s="364" t="s">
        <v>111</v>
      </c>
      <c r="B697" s="405" t="s">
        <v>112</v>
      </c>
      <c r="C697" s="328"/>
      <c r="D697" s="328"/>
      <c r="E697" s="328"/>
      <c r="F697" s="328"/>
      <c r="G697" s="328"/>
      <c r="H697" s="328"/>
    </row>
    <row r="698" spans="1:8" hidden="1" x14ac:dyDescent="0.25">
      <c r="A698" s="364" t="s">
        <v>113</v>
      </c>
      <c r="B698" s="405" t="s">
        <v>114</v>
      </c>
      <c r="C698" s="328"/>
      <c r="D698" s="328"/>
      <c r="E698" s="328"/>
      <c r="F698" s="328"/>
      <c r="G698" s="328"/>
      <c r="H698" s="328"/>
    </row>
    <row r="699" spans="1:8" hidden="1" x14ac:dyDescent="0.25">
      <c r="A699" s="364" t="s">
        <v>117</v>
      </c>
      <c r="B699" s="365" t="s">
        <v>326</v>
      </c>
      <c r="C699" s="328">
        <f t="shared" ref="C699:D699" si="419">C700</f>
        <v>0</v>
      </c>
      <c r="D699" s="328">
        <f t="shared" si="419"/>
        <v>0</v>
      </c>
      <c r="E699" s="328"/>
      <c r="F699" s="328">
        <f>F700</f>
        <v>0</v>
      </c>
      <c r="G699" s="328">
        <f t="shared" ref="G699:H699" si="420">G700</f>
        <v>0</v>
      </c>
      <c r="H699" s="328">
        <f t="shared" si="420"/>
        <v>0</v>
      </c>
    </row>
    <row r="700" spans="1:8" s="329" customFormat="1" hidden="1" x14ac:dyDescent="0.25">
      <c r="A700" s="366">
        <v>32241</v>
      </c>
      <c r="B700" s="286" t="s">
        <v>422</v>
      </c>
      <c r="C700" s="351">
        <v>0</v>
      </c>
      <c r="D700" s="351"/>
      <c r="E700" s="351"/>
      <c r="F700" s="351">
        <v>0</v>
      </c>
      <c r="G700" s="351"/>
      <c r="H700" s="351"/>
    </row>
    <row r="701" spans="1:8" s="329" customFormat="1" hidden="1" x14ac:dyDescent="0.25">
      <c r="A701" s="364" t="s">
        <v>121</v>
      </c>
      <c r="B701" s="365" t="s">
        <v>122</v>
      </c>
      <c r="C701" s="328"/>
      <c r="D701" s="328"/>
      <c r="E701" s="328"/>
      <c r="F701" s="328"/>
      <c r="G701" s="328"/>
      <c r="H701" s="328"/>
    </row>
    <row r="702" spans="1:8" hidden="1" x14ac:dyDescent="0.25">
      <c r="A702" s="364" t="s">
        <v>123</v>
      </c>
      <c r="B702" s="288" t="s">
        <v>124</v>
      </c>
      <c r="C702" s="328">
        <f>C703+C704+C706+C707</f>
        <v>0</v>
      </c>
      <c r="D702" s="328">
        <f>D703+D704+D706+D707</f>
        <v>0</v>
      </c>
      <c r="E702" s="328"/>
      <c r="F702" s="328">
        <f>F703+F704+F706+F707</f>
        <v>0</v>
      </c>
      <c r="G702" s="328">
        <f t="shared" ref="G702:H702" si="421">G703+G704+G706+G707</f>
        <v>0</v>
      </c>
      <c r="H702" s="328">
        <f t="shared" si="421"/>
        <v>0</v>
      </c>
    </row>
    <row r="703" spans="1:8" hidden="1" x14ac:dyDescent="0.25">
      <c r="A703" s="364" t="s">
        <v>125</v>
      </c>
      <c r="B703" s="288" t="s">
        <v>126</v>
      </c>
      <c r="C703" s="351">
        <v>0</v>
      </c>
      <c r="D703" s="351">
        <v>0</v>
      </c>
      <c r="E703" s="351"/>
      <c r="F703" s="351">
        <v>0</v>
      </c>
      <c r="G703" s="351">
        <v>0</v>
      </c>
      <c r="H703" s="351">
        <v>0</v>
      </c>
    </row>
    <row r="704" spans="1:8" hidden="1" x14ac:dyDescent="0.25">
      <c r="A704" s="364" t="s">
        <v>127</v>
      </c>
      <c r="B704" s="288" t="s">
        <v>128</v>
      </c>
      <c r="C704" s="328">
        <f t="shared" ref="C704:D704" si="422">C705</f>
        <v>0</v>
      </c>
      <c r="D704" s="328">
        <f t="shared" si="422"/>
        <v>0</v>
      </c>
      <c r="E704" s="328"/>
      <c r="F704" s="328">
        <f>F705</f>
        <v>0</v>
      </c>
      <c r="G704" s="328">
        <f t="shared" ref="G704:H704" si="423">G705</f>
        <v>0</v>
      </c>
      <c r="H704" s="328">
        <f t="shared" si="423"/>
        <v>0</v>
      </c>
    </row>
    <row r="705" spans="1:8" hidden="1" x14ac:dyDescent="0.25">
      <c r="A705" s="366">
        <v>32321</v>
      </c>
      <c r="B705" s="287" t="s">
        <v>429</v>
      </c>
      <c r="C705" s="351">
        <v>0</v>
      </c>
      <c r="D705" s="351"/>
      <c r="E705" s="351"/>
      <c r="F705" s="351">
        <v>0</v>
      </c>
      <c r="G705" s="351"/>
      <c r="H705" s="351"/>
    </row>
    <row r="706" spans="1:8" hidden="1" x14ac:dyDescent="0.25">
      <c r="A706" s="364" t="s">
        <v>131</v>
      </c>
      <c r="B706" s="365" t="s">
        <v>132</v>
      </c>
      <c r="C706" s="351"/>
      <c r="D706" s="351"/>
      <c r="E706" s="351"/>
      <c r="F706" s="351"/>
      <c r="G706" s="351"/>
      <c r="H706" s="351"/>
    </row>
    <row r="707" spans="1:8" hidden="1" x14ac:dyDescent="0.25">
      <c r="A707" s="364" t="s">
        <v>214</v>
      </c>
      <c r="B707" s="365" t="s">
        <v>134</v>
      </c>
      <c r="C707" s="351"/>
      <c r="D707" s="351"/>
      <c r="E707" s="351"/>
      <c r="F707" s="351"/>
      <c r="G707" s="351"/>
      <c r="H707" s="351"/>
    </row>
    <row r="708" spans="1:8" hidden="1" x14ac:dyDescent="0.25">
      <c r="A708" s="392" t="s">
        <v>360</v>
      </c>
      <c r="B708" s="393" t="s">
        <v>298</v>
      </c>
      <c r="C708" s="355">
        <f t="shared" ref="C708:H709" si="424">C709</f>
        <v>0</v>
      </c>
      <c r="D708" s="355">
        <f t="shared" si="424"/>
        <v>0</v>
      </c>
      <c r="E708" s="355"/>
      <c r="F708" s="355">
        <f t="shared" si="424"/>
        <v>0</v>
      </c>
      <c r="G708" s="355">
        <f t="shared" si="424"/>
        <v>0</v>
      </c>
      <c r="H708" s="355">
        <f t="shared" si="424"/>
        <v>0</v>
      </c>
    </row>
    <row r="709" spans="1:8" hidden="1" x14ac:dyDescent="0.25">
      <c r="A709" s="364" t="s">
        <v>361</v>
      </c>
      <c r="B709" s="365" t="s">
        <v>151</v>
      </c>
      <c r="C709" s="328">
        <f t="shared" si="424"/>
        <v>0</v>
      </c>
      <c r="D709" s="328">
        <f t="shared" si="424"/>
        <v>0</v>
      </c>
      <c r="E709" s="328"/>
      <c r="F709" s="328">
        <f t="shared" si="424"/>
        <v>0</v>
      </c>
      <c r="G709" s="328">
        <f t="shared" si="424"/>
        <v>0</v>
      </c>
      <c r="H709" s="328">
        <f t="shared" si="424"/>
        <v>0</v>
      </c>
    </row>
    <row r="710" spans="1:8" hidden="1" x14ac:dyDescent="0.25">
      <c r="A710" s="366" t="s">
        <v>362</v>
      </c>
      <c r="B710" s="286" t="s">
        <v>363</v>
      </c>
      <c r="C710" s="351"/>
      <c r="D710" s="351"/>
      <c r="E710" s="351"/>
      <c r="F710" s="351"/>
      <c r="G710" s="351"/>
      <c r="H710" s="351"/>
    </row>
    <row r="711" spans="1:8" hidden="1" x14ac:dyDescent="0.25">
      <c r="A711" s="337">
        <v>4</v>
      </c>
      <c r="B711" s="338" t="s">
        <v>171</v>
      </c>
      <c r="C711" s="339">
        <f>SUM(C712,C723)</f>
        <v>0</v>
      </c>
      <c r="D711" s="339">
        <f>SUM(D712,D723)</f>
        <v>0</v>
      </c>
      <c r="E711" s="339"/>
      <c r="F711" s="339">
        <f>SUM(F712,F723)</f>
        <v>0</v>
      </c>
      <c r="G711" s="339">
        <f>SUM(G712,G723)</f>
        <v>0</v>
      </c>
      <c r="H711" s="339">
        <f>SUM(H712,H723)</f>
        <v>0</v>
      </c>
    </row>
    <row r="712" spans="1:8" hidden="1" x14ac:dyDescent="0.25">
      <c r="A712" s="377">
        <v>42</v>
      </c>
      <c r="B712" s="404" t="s">
        <v>357</v>
      </c>
      <c r="C712" s="355">
        <f t="shared" ref="C712:D712" si="425">C713</f>
        <v>0</v>
      </c>
      <c r="D712" s="355">
        <f t="shared" si="425"/>
        <v>0</v>
      </c>
      <c r="E712" s="355"/>
      <c r="F712" s="355">
        <f>F713</f>
        <v>0</v>
      </c>
      <c r="G712" s="355">
        <f t="shared" ref="G712:H712" si="426">G713</f>
        <v>0</v>
      </c>
      <c r="H712" s="355">
        <f t="shared" si="426"/>
        <v>0</v>
      </c>
    </row>
    <row r="713" spans="1:8" hidden="1" x14ac:dyDescent="0.25">
      <c r="A713" s="295">
        <v>422</v>
      </c>
      <c r="B713" s="380" t="s">
        <v>181</v>
      </c>
      <c r="C713" s="328">
        <f t="shared" ref="C713:D713" si="427">C714+C717+C719+C721</f>
        <v>0</v>
      </c>
      <c r="D713" s="328">
        <f t="shared" si="427"/>
        <v>0</v>
      </c>
      <c r="E713" s="328"/>
      <c r="F713" s="328">
        <f>F714+F717+F719+F721</f>
        <v>0</v>
      </c>
      <c r="G713" s="328">
        <f t="shared" ref="G713" si="428">G714+G717+G719+G721</f>
        <v>0</v>
      </c>
      <c r="H713" s="328">
        <f t="shared" ref="H713" si="429">H714+H717+H719+H721</f>
        <v>0</v>
      </c>
    </row>
    <row r="714" spans="1:8" hidden="1" x14ac:dyDescent="0.25">
      <c r="A714" s="295">
        <v>4221</v>
      </c>
      <c r="B714" s="380" t="s">
        <v>183</v>
      </c>
      <c r="C714" s="328">
        <f t="shared" ref="C714:D714" si="430">SUM(C715:C716)</f>
        <v>0</v>
      </c>
      <c r="D714" s="328">
        <f t="shared" si="430"/>
        <v>0</v>
      </c>
      <c r="E714" s="328"/>
      <c r="F714" s="328">
        <f>SUM(F715:F716)</f>
        <v>0</v>
      </c>
      <c r="G714" s="328">
        <f t="shared" ref="G714:H714" si="431">SUM(G715:G716)</f>
        <v>0</v>
      </c>
      <c r="H714" s="328">
        <f t="shared" si="431"/>
        <v>0</v>
      </c>
    </row>
    <row r="715" spans="1:8" hidden="1" x14ac:dyDescent="0.25">
      <c r="A715" s="292">
        <v>42211</v>
      </c>
      <c r="B715" s="389" t="s">
        <v>460</v>
      </c>
      <c r="C715" s="351">
        <v>0</v>
      </c>
      <c r="D715" s="351">
        <v>0</v>
      </c>
      <c r="E715" s="351"/>
      <c r="F715" s="351">
        <v>0</v>
      </c>
      <c r="G715" s="351">
        <v>0</v>
      </c>
      <c r="H715" s="351">
        <v>0</v>
      </c>
    </row>
    <row r="716" spans="1:8" hidden="1" x14ac:dyDescent="0.25">
      <c r="A716" s="292">
        <v>42212</v>
      </c>
      <c r="B716" s="389" t="s">
        <v>461</v>
      </c>
      <c r="C716" s="351">
        <v>0</v>
      </c>
      <c r="D716" s="351">
        <v>0</v>
      </c>
      <c r="E716" s="351"/>
      <c r="F716" s="351">
        <v>0</v>
      </c>
      <c r="G716" s="351">
        <v>0</v>
      </c>
      <c r="H716" s="351">
        <v>0</v>
      </c>
    </row>
    <row r="717" spans="1:8" hidden="1" x14ac:dyDescent="0.25">
      <c r="A717" s="295">
        <v>4223</v>
      </c>
      <c r="B717" s="380" t="s">
        <v>186</v>
      </c>
      <c r="C717" s="328">
        <f t="shared" ref="C717:D717" si="432">C718</f>
        <v>0</v>
      </c>
      <c r="D717" s="328">
        <f t="shared" si="432"/>
        <v>0</v>
      </c>
      <c r="E717" s="328"/>
      <c r="F717" s="328">
        <f>F718</f>
        <v>0</v>
      </c>
      <c r="G717" s="328">
        <f t="shared" ref="G717" si="433">G718</f>
        <v>0</v>
      </c>
      <c r="H717" s="328">
        <f t="shared" ref="H717" si="434">H718</f>
        <v>0</v>
      </c>
    </row>
    <row r="718" spans="1:8" hidden="1" x14ac:dyDescent="0.25">
      <c r="A718" s="292">
        <v>42231</v>
      </c>
      <c r="B718" s="389" t="s">
        <v>464</v>
      </c>
      <c r="C718" s="351">
        <v>0</v>
      </c>
      <c r="D718" s="351">
        <v>0</v>
      </c>
      <c r="E718" s="351"/>
      <c r="F718" s="351">
        <v>0</v>
      </c>
      <c r="G718" s="351"/>
      <c r="H718" s="351"/>
    </row>
    <row r="719" spans="1:8" hidden="1" x14ac:dyDescent="0.25">
      <c r="A719" s="295">
        <v>4224</v>
      </c>
      <c r="B719" s="380" t="s">
        <v>187</v>
      </c>
      <c r="C719" s="328">
        <f t="shared" ref="C719:D719" si="435">SUM(C720)</f>
        <v>0</v>
      </c>
      <c r="D719" s="328">
        <f t="shared" si="435"/>
        <v>0</v>
      </c>
      <c r="E719" s="328"/>
      <c r="F719" s="328">
        <f>SUM(F720)</f>
        <v>0</v>
      </c>
      <c r="G719" s="328">
        <f t="shared" ref="G719:H719" si="436">SUM(G720)</f>
        <v>0</v>
      </c>
      <c r="H719" s="328">
        <f t="shared" si="436"/>
        <v>0</v>
      </c>
    </row>
    <row r="720" spans="1:8" hidden="1" x14ac:dyDescent="0.25">
      <c r="A720" s="292">
        <v>42241</v>
      </c>
      <c r="B720" s="389" t="s">
        <v>465</v>
      </c>
      <c r="C720" s="351">
        <v>0</v>
      </c>
      <c r="D720" s="351">
        <v>0</v>
      </c>
      <c r="E720" s="351"/>
      <c r="F720" s="351">
        <v>0</v>
      </c>
      <c r="G720" s="351">
        <v>0</v>
      </c>
      <c r="H720" s="351">
        <v>0</v>
      </c>
    </row>
    <row r="721" spans="1:8" hidden="1" x14ac:dyDescent="0.25">
      <c r="A721" s="295">
        <v>4225</v>
      </c>
      <c r="B721" s="380" t="s">
        <v>188</v>
      </c>
      <c r="C721" s="328">
        <f t="shared" ref="C721:D721" si="437">SUM(C722)</f>
        <v>0</v>
      </c>
      <c r="D721" s="328">
        <f t="shared" si="437"/>
        <v>0</v>
      </c>
      <c r="E721" s="328"/>
      <c r="F721" s="328">
        <f>SUM(F722)</f>
        <v>0</v>
      </c>
      <c r="G721" s="328">
        <f t="shared" ref="G721:H721" si="438">SUM(G722)</f>
        <v>0</v>
      </c>
      <c r="H721" s="328">
        <f t="shared" si="438"/>
        <v>0</v>
      </c>
    </row>
    <row r="722" spans="1:8" hidden="1" x14ac:dyDescent="0.25">
      <c r="A722" s="292">
        <v>42259</v>
      </c>
      <c r="B722" s="389" t="s">
        <v>564</v>
      </c>
      <c r="C722" s="351">
        <v>0</v>
      </c>
      <c r="D722" s="351">
        <v>0</v>
      </c>
      <c r="E722" s="351"/>
      <c r="F722" s="351">
        <v>0</v>
      </c>
      <c r="G722" s="351">
        <v>0</v>
      </c>
      <c r="H722" s="351">
        <v>0</v>
      </c>
    </row>
    <row r="723" spans="1:8" hidden="1" x14ac:dyDescent="0.25">
      <c r="A723" s="362" t="s">
        <v>193</v>
      </c>
      <c r="B723" s="381" t="s">
        <v>196</v>
      </c>
      <c r="C723" s="355">
        <f t="shared" ref="C723:D725" si="439">SUM(C724)</f>
        <v>0</v>
      </c>
      <c r="D723" s="355">
        <f t="shared" si="439"/>
        <v>0</v>
      </c>
      <c r="E723" s="355"/>
      <c r="F723" s="355">
        <f>SUM(F724)</f>
        <v>0</v>
      </c>
      <c r="G723" s="355">
        <f>SUM(G724)</f>
        <v>0</v>
      </c>
      <c r="H723" s="355">
        <f t="shared" ref="G723:H725" si="440">SUM(H724)</f>
        <v>0</v>
      </c>
    </row>
    <row r="724" spans="1:8" hidden="1" x14ac:dyDescent="0.25">
      <c r="A724" s="364" t="s">
        <v>195</v>
      </c>
      <c r="B724" s="365" t="s">
        <v>204</v>
      </c>
      <c r="C724" s="328">
        <f t="shared" si="439"/>
        <v>0</v>
      </c>
      <c r="D724" s="328">
        <f t="shared" si="439"/>
        <v>0</v>
      </c>
      <c r="E724" s="328"/>
      <c r="F724" s="328">
        <f>SUM(F725)</f>
        <v>0</v>
      </c>
      <c r="G724" s="328">
        <f t="shared" si="440"/>
        <v>0</v>
      </c>
      <c r="H724" s="328">
        <f t="shared" si="440"/>
        <v>0</v>
      </c>
    </row>
    <row r="725" spans="1:8" hidden="1" x14ac:dyDescent="0.25">
      <c r="A725" s="364" t="s">
        <v>197</v>
      </c>
      <c r="B725" s="365" t="s">
        <v>196</v>
      </c>
      <c r="C725" s="328">
        <f t="shared" si="439"/>
        <v>0</v>
      </c>
      <c r="D725" s="328">
        <f t="shared" si="439"/>
        <v>0</v>
      </c>
      <c r="E725" s="328"/>
      <c r="F725" s="328">
        <f>SUM(F726)</f>
        <v>0</v>
      </c>
      <c r="G725" s="328">
        <f t="shared" si="440"/>
        <v>0</v>
      </c>
      <c r="H725" s="328">
        <f t="shared" si="440"/>
        <v>0</v>
      </c>
    </row>
    <row r="726" spans="1:8" hidden="1" x14ac:dyDescent="0.25">
      <c r="A726" s="366" t="s">
        <v>509</v>
      </c>
      <c r="B726" s="286" t="s">
        <v>196</v>
      </c>
      <c r="C726" s="351">
        <v>0</v>
      </c>
      <c r="D726" s="351"/>
      <c r="E726" s="351"/>
      <c r="F726" s="351">
        <v>0</v>
      </c>
      <c r="G726" s="351">
        <v>0</v>
      </c>
      <c r="H726" s="351">
        <v>0</v>
      </c>
    </row>
    <row r="727" spans="1:8" ht="31.5" hidden="1" x14ac:dyDescent="0.25">
      <c r="A727" s="401" t="s">
        <v>318</v>
      </c>
      <c r="B727" s="402" t="s">
        <v>565</v>
      </c>
      <c r="C727" s="332">
        <f>C728</f>
        <v>0</v>
      </c>
      <c r="D727" s="332">
        <f t="shared" ref="D727:H727" si="441">D728</f>
        <v>0</v>
      </c>
      <c r="E727" s="332"/>
      <c r="F727" s="332">
        <f t="shared" si="441"/>
        <v>0</v>
      </c>
      <c r="G727" s="332">
        <f t="shared" si="441"/>
        <v>0</v>
      </c>
      <c r="H727" s="332">
        <f t="shared" si="441"/>
        <v>0</v>
      </c>
    </row>
    <row r="728" spans="1:8" hidden="1" x14ac:dyDescent="0.25">
      <c r="A728" s="386">
        <v>52</v>
      </c>
      <c r="B728" s="387" t="s">
        <v>221</v>
      </c>
      <c r="C728" s="335">
        <f>C729+C734</f>
        <v>0</v>
      </c>
      <c r="D728" s="335">
        <f t="shared" ref="D728:H728" si="442">D729+D734</f>
        <v>0</v>
      </c>
      <c r="E728" s="335"/>
      <c r="F728" s="335">
        <f t="shared" si="442"/>
        <v>0</v>
      </c>
      <c r="G728" s="335">
        <f t="shared" si="442"/>
        <v>0</v>
      </c>
      <c r="H728" s="335">
        <f t="shared" si="442"/>
        <v>0</v>
      </c>
    </row>
    <row r="729" spans="1:8" hidden="1" x14ac:dyDescent="0.25">
      <c r="A729" s="400" t="s">
        <v>83</v>
      </c>
      <c r="B729" s="403" t="s">
        <v>84</v>
      </c>
      <c r="C729" s="339">
        <f>C730</f>
        <v>0</v>
      </c>
      <c r="D729" s="339">
        <f t="shared" ref="D729:H730" si="443">D730</f>
        <v>0</v>
      </c>
      <c r="E729" s="339"/>
      <c r="F729" s="339">
        <f t="shared" si="443"/>
        <v>0</v>
      </c>
      <c r="G729" s="339">
        <f t="shared" si="443"/>
        <v>0</v>
      </c>
      <c r="H729" s="339">
        <f t="shared" si="443"/>
        <v>0</v>
      </c>
    </row>
    <row r="730" spans="1:8" hidden="1" x14ac:dyDescent="0.25">
      <c r="A730" s="362">
        <v>32</v>
      </c>
      <c r="B730" s="363" t="s">
        <v>99</v>
      </c>
      <c r="C730" s="355">
        <f>C731</f>
        <v>0</v>
      </c>
      <c r="D730" s="355">
        <f t="shared" si="443"/>
        <v>0</v>
      </c>
      <c r="E730" s="355"/>
      <c r="F730" s="355">
        <f t="shared" si="443"/>
        <v>0</v>
      </c>
      <c r="G730" s="355">
        <f t="shared" si="443"/>
        <v>0</v>
      </c>
      <c r="H730" s="355">
        <f t="shared" si="443"/>
        <v>0</v>
      </c>
    </row>
    <row r="731" spans="1:8" hidden="1" x14ac:dyDescent="0.25">
      <c r="A731" s="364" t="s">
        <v>123</v>
      </c>
      <c r="B731" s="365" t="s">
        <v>124</v>
      </c>
      <c r="C731" s="328">
        <f>C732</f>
        <v>0</v>
      </c>
      <c r="D731" s="328"/>
      <c r="E731" s="328"/>
      <c r="F731" s="328"/>
      <c r="G731" s="328"/>
      <c r="H731" s="328"/>
    </row>
    <row r="732" spans="1:8" hidden="1" x14ac:dyDescent="0.25">
      <c r="A732" s="364" t="s">
        <v>138</v>
      </c>
      <c r="B732" s="288" t="s">
        <v>139</v>
      </c>
      <c r="C732" s="328">
        <f>SUM(C733)</f>
        <v>0</v>
      </c>
      <c r="D732" s="328"/>
      <c r="E732" s="328"/>
      <c r="F732" s="328"/>
      <c r="G732" s="328"/>
      <c r="H732" s="328"/>
    </row>
    <row r="733" spans="1:8" hidden="1" x14ac:dyDescent="0.25">
      <c r="A733" s="366" t="s">
        <v>515</v>
      </c>
      <c r="B733" s="287" t="s">
        <v>311</v>
      </c>
      <c r="C733" s="351"/>
      <c r="D733" s="351"/>
      <c r="E733" s="351"/>
      <c r="F733" s="351"/>
      <c r="G733" s="351"/>
      <c r="H733" s="351"/>
    </row>
    <row r="734" spans="1:8" hidden="1" x14ac:dyDescent="0.25">
      <c r="A734" s="400">
        <v>4</v>
      </c>
      <c r="B734" s="403" t="s">
        <v>171</v>
      </c>
      <c r="C734" s="339">
        <f t="shared" ref="C734:H735" si="444">C735</f>
        <v>0</v>
      </c>
      <c r="D734" s="339">
        <f t="shared" si="444"/>
        <v>0</v>
      </c>
      <c r="E734" s="339"/>
      <c r="F734" s="339">
        <f t="shared" si="444"/>
        <v>0</v>
      </c>
      <c r="G734" s="339">
        <f t="shared" si="444"/>
        <v>0</v>
      </c>
      <c r="H734" s="339">
        <f t="shared" si="444"/>
        <v>0</v>
      </c>
    </row>
    <row r="735" spans="1:8" hidden="1" x14ac:dyDescent="0.25">
      <c r="A735" s="362">
        <v>42</v>
      </c>
      <c r="B735" s="363" t="s">
        <v>357</v>
      </c>
      <c r="C735" s="355">
        <f t="shared" si="444"/>
        <v>0</v>
      </c>
      <c r="D735" s="355">
        <f t="shared" si="444"/>
        <v>0</v>
      </c>
      <c r="E735" s="355"/>
      <c r="F735" s="355">
        <f t="shared" si="444"/>
        <v>0</v>
      </c>
      <c r="G735" s="355">
        <f t="shared" si="444"/>
        <v>0</v>
      </c>
      <c r="H735" s="355">
        <f t="shared" si="444"/>
        <v>0</v>
      </c>
    </row>
    <row r="736" spans="1:8" hidden="1" x14ac:dyDescent="0.25">
      <c r="A736" s="438">
        <v>422</v>
      </c>
      <c r="B736" s="439" t="s">
        <v>181</v>
      </c>
      <c r="C736" s="328">
        <f>C737+C738+C739</f>
        <v>0</v>
      </c>
      <c r="D736" s="328">
        <f t="shared" ref="D736:H736" si="445">D737+D738+D739</f>
        <v>0</v>
      </c>
      <c r="E736" s="328"/>
      <c r="F736" s="328">
        <f t="shared" si="445"/>
        <v>0</v>
      </c>
      <c r="G736" s="328">
        <f t="shared" si="445"/>
        <v>0</v>
      </c>
      <c r="H736" s="328">
        <f t="shared" si="445"/>
        <v>0</v>
      </c>
    </row>
    <row r="737" spans="1:8" hidden="1" x14ac:dyDescent="0.25">
      <c r="A737" s="364">
        <v>4221</v>
      </c>
      <c r="B737" s="405" t="s">
        <v>183</v>
      </c>
      <c r="C737" s="368"/>
      <c r="D737" s="368"/>
      <c r="E737" s="368"/>
      <c r="F737" s="368"/>
      <c r="G737" s="368"/>
      <c r="H737" s="368"/>
    </row>
    <row r="738" spans="1:8" hidden="1" x14ac:dyDescent="0.25">
      <c r="A738" s="364">
        <v>4223</v>
      </c>
      <c r="B738" s="405" t="s">
        <v>307</v>
      </c>
      <c r="C738" s="368"/>
      <c r="D738" s="368"/>
      <c r="E738" s="368"/>
      <c r="F738" s="368"/>
      <c r="G738" s="368"/>
      <c r="H738" s="368"/>
    </row>
    <row r="739" spans="1:8" hidden="1" x14ac:dyDescent="0.25">
      <c r="A739" s="364">
        <v>4224</v>
      </c>
      <c r="B739" s="405" t="s">
        <v>566</v>
      </c>
      <c r="C739" s="368">
        <f>C740</f>
        <v>0</v>
      </c>
      <c r="D739" s="368">
        <f t="shared" ref="D739:H739" si="446">D740</f>
        <v>0</v>
      </c>
      <c r="E739" s="368"/>
      <c r="F739" s="368">
        <f t="shared" si="446"/>
        <v>0</v>
      </c>
      <c r="G739" s="368">
        <f t="shared" si="446"/>
        <v>0</v>
      </c>
      <c r="H739" s="368">
        <f t="shared" si="446"/>
        <v>0</v>
      </c>
    </row>
    <row r="740" spans="1:8" hidden="1" x14ac:dyDescent="0.25">
      <c r="A740" s="366">
        <v>42241</v>
      </c>
      <c r="B740" s="440" t="s">
        <v>465</v>
      </c>
      <c r="C740" s="367"/>
      <c r="D740" s="367"/>
      <c r="E740" s="367"/>
      <c r="F740" s="367"/>
      <c r="G740" s="367"/>
      <c r="H740" s="367"/>
    </row>
    <row r="741" spans="1:8" x14ac:dyDescent="0.25">
      <c r="A741" s="356">
        <v>3</v>
      </c>
      <c r="B741" s="356" t="s">
        <v>84</v>
      </c>
      <c r="C741" s="357" t="e">
        <f>C8+C217+C350+C393+C412+#REF!+#REF!+#REF!+#REF!+C448+#REF!+#REF!+#REF!+C514+#REF!+C533+#REF!+C570+#REF!+#REF!+#REF!+C607+C647+C686+C729</f>
        <v>#REF!</v>
      </c>
      <c r="D741" s="357" t="e">
        <f>D8+D217+D350+D393+D412+#REF!+#REF!+#REF!+#REF!+D448+#REF!+#REF!+#REF!+D514+#REF!+D533+#REF!+D570+#REF!+#REF!+#REF!+D607+D647+D686+D729</f>
        <v>#REF!</v>
      </c>
      <c r="E741" s="357">
        <f>E8+E217+E350+E393+E412+E434+E448+E514+E533+E563+E570+E607+E647+E686+E729</f>
        <v>26423402.949999999</v>
      </c>
      <c r="F741" s="357">
        <f>F8+F217+F350+F393+F412+F434+F448+F514+F533+F563+F570+F607+F647+F686+F729</f>
        <v>26300527.960000001</v>
      </c>
      <c r="G741" s="357">
        <f>G8+G217+G350+G393+G412+G434+G448+G514+G533+G563+G570+G607+G647+G686+G729</f>
        <v>26565803.32</v>
      </c>
      <c r="H741" s="357">
        <f>H8+H217+H350+H393+H412+H434+H448+H514+H533+H563+H570+H607+H647+H686+H729</f>
        <v>26806376.339999996</v>
      </c>
    </row>
    <row r="742" spans="1:8" x14ac:dyDescent="0.25">
      <c r="A742" s="356">
        <v>4</v>
      </c>
      <c r="B742" s="356" t="s">
        <v>171</v>
      </c>
      <c r="C742" s="357" t="e">
        <f>C181+C331+C405+C424+C478+#REF!+#REF!+C711+C734</f>
        <v>#REF!</v>
      </c>
      <c r="D742" s="357" t="e">
        <f>D181+D331+D405+D424+D478+#REF!+#REF!+D711+D734</f>
        <v>#REF!</v>
      </c>
      <c r="E742" s="357">
        <f>E181+E331+E405+E424+E478+E711+E734</f>
        <v>360772.28</v>
      </c>
      <c r="F742" s="357">
        <f>F181+F331+F405+F424+F478+F711+F734</f>
        <v>854875.27</v>
      </c>
      <c r="G742" s="357">
        <f>G181+G331+G405+G424+G478+G711+G734</f>
        <v>857825.27</v>
      </c>
      <c r="H742" s="357">
        <f>H181+H331+H405+H424+H478+H711+H734</f>
        <v>860775.27</v>
      </c>
    </row>
    <row r="743" spans="1:8" s="358" customFormat="1" x14ac:dyDescent="0.25">
      <c r="A743" s="356"/>
      <c r="B743" s="356" t="s">
        <v>364</v>
      </c>
      <c r="C743" s="357" t="e">
        <f t="shared" ref="C743:H743" si="447">SUM(C741:C742)</f>
        <v>#REF!</v>
      </c>
      <c r="D743" s="357" t="e">
        <f t="shared" si="447"/>
        <v>#REF!</v>
      </c>
      <c r="E743" s="357">
        <f t="shared" ref="E743" si="448">SUM(E741:E742)</f>
        <v>26784175.23</v>
      </c>
      <c r="F743" s="357">
        <f t="shared" si="447"/>
        <v>27155403.23</v>
      </c>
      <c r="G743" s="357">
        <f t="shared" si="447"/>
        <v>27423628.59</v>
      </c>
      <c r="H743" s="357">
        <f t="shared" si="447"/>
        <v>27667151.609999996</v>
      </c>
    </row>
    <row r="751" spans="1:8" x14ac:dyDescent="0.25">
      <c r="F751" s="348"/>
    </row>
  </sheetData>
  <mergeCells count="2">
    <mergeCell ref="A1:H1"/>
    <mergeCell ref="A2:H2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Prihodi po ekonomskoj klas</vt:lpstr>
      <vt:lpstr>RASHODI-ek.kl.</vt:lpstr>
      <vt:lpstr>Prihodi po ek klas i izvorima</vt:lpstr>
      <vt:lpstr> PRIHODI I RASHODI-izvori</vt:lpstr>
      <vt:lpstr>Prih.i rash.</vt:lpstr>
      <vt:lpstr>RASHODI-funkcijska</vt:lpstr>
      <vt:lpstr>Rekapitulacija 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fakture10</dc:creator>
  <cp:lastModifiedBy>Vanja Kovac</cp:lastModifiedBy>
  <cp:lastPrinted>2026-06-09T06:42:58Z</cp:lastPrinted>
  <dcterms:created xsi:type="dcterms:W3CDTF">2015-06-05T18:19:34Z</dcterms:created>
  <dcterms:modified xsi:type="dcterms:W3CDTF">2026-08-10T12:23:46Z</dcterms:modified>
</cp:coreProperties>
</file>